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2FD80089-8714-4C59-B27A-DC0BB061CAE8}" xr6:coauthVersionLast="36" xr6:coauthVersionMax="36" xr10:uidLastSave="{00000000-0000-0000-0000-000000000000}"/>
  <bookViews>
    <workbookView xWindow="0" yWindow="0" windowWidth="19200" windowHeight="6930" xr2:uid="{5548F5ED-15A1-4C66-BF06-872A710C1158}"/>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2020'!$A$5:$AA$48</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2020'!$A$1:$AA$245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5" i="1" l="1"/>
  <c r="O234" i="1"/>
  <c r="N234" i="1" s="1"/>
  <c r="M234" i="1" s="1"/>
  <c r="N233" i="1"/>
  <c r="M233" i="1" s="1"/>
  <c r="N232" i="1"/>
  <c r="M232" i="1" s="1"/>
  <c r="O231" i="1"/>
  <c r="N231" i="1" s="1"/>
  <c r="M231" i="1" s="1"/>
  <c r="O230" i="1"/>
  <c r="N230" i="1" s="1"/>
  <c r="M230" i="1" s="1"/>
  <c r="N229" i="1"/>
  <c r="M229" i="1" s="1"/>
  <c r="O228" i="1"/>
  <c r="N228" i="1" s="1"/>
  <c r="M228" i="1" s="1"/>
  <c r="O227" i="1"/>
  <c r="N227" i="1" s="1"/>
  <c r="M227" i="1" s="1"/>
  <c r="O226" i="1"/>
  <c r="N226" i="1"/>
  <c r="M226" i="1" s="1"/>
  <c r="O225" i="1"/>
  <c r="N225" i="1" s="1"/>
  <c r="M225" i="1" s="1"/>
  <c r="O224" i="1"/>
  <c r="N224" i="1" s="1"/>
  <c r="M224" i="1" s="1"/>
  <c r="P223" i="1"/>
  <c r="O223" i="1"/>
  <c r="P222" i="1"/>
  <c r="O222" i="1"/>
  <c r="P221" i="1"/>
  <c r="O221" i="1"/>
  <c r="O220" i="1"/>
  <c r="N220" i="1" s="1"/>
  <c r="M220" i="1" s="1"/>
  <c r="O219" i="1"/>
  <c r="N219" i="1" s="1"/>
  <c r="M219" i="1" s="1"/>
  <c r="O218" i="1"/>
  <c r="N218" i="1" s="1"/>
  <c r="M218" i="1" s="1"/>
  <c r="O217" i="1"/>
  <c r="N217" i="1" s="1"/>
  <c r="M217" i="1" s="1"/>
  <c r="O216" i="1"/>
  <c r="N216" i="1" s="1"/>
  <c r="M216" i="1" s="1"/>
  <c r="O215" i="1"/>
  <c r="N215" i="1"/>
  <c r="M215" i="1" s="1"/>
  <c r="N214" i="1"/>
  <c r="M214" i="1" s="1"/>
  <c r="O213" i="1"/>
  <c r="N213" i="1" s="1"/>
  <c r="M213" i="1" s="1"/>
  <c r="O212" i="1"/>
  <c r="N212" i="1" s="1"/>
  <c r="M212" i="1" s="1"/>
  <c r="O211" i="1"/>
  <c r="N211" i="1" s="1"/>
  <c r="M211" i="1" s="1"/>
  <c r="N210" i="1"/>
  <c r="M210" i="1" s="1"/>
  <c r="Q209" i="1"/>
  <c r="P209" i="1"/>
  <c r="O209" i="1"/>
  <c r="P208" i="1"/>
  <c r="O208" i="1"/>
  <c r="N207" i="1"/>
  <c r="M207" i="1" s="1"/>
  <c r="O206" i="1"/>
  <c r="N206" i="1" s="1"/>
  <c r="M206" i="1" s="1"/>
  <c r="O205" i="1"/>
  <c r="N205" i="1"/>
  <c r="M205" i="1" s="1"/>
  <c r="O204" i="1"/>
  <c r="N204" i="1" s="1"/>
  <c r="M204" i="1" s="1"/>
  <c r="N203" i="1"/>
  <c r="M203" i="1" s="1"/>
  <c r="N202" i="1"/>
  <c r="M202" i="1" s="1"/>
  <c r="N201" i="1"/>
  <c r="M201" i="1" s="1"/>
  <c r="O200" i="1"/>
  <c r="N200" i="1" s="1"/>
  <c r="M200" i="1" s="1"/>
  <c r="O199" i="1"/>
  <c r="M199" i="1"/>
  <c r="O198" i="1"/>
  <c r="N198" i="1" s="1"/>
  <c r="M198" i="1" s="1"/>
  <c r="O197" i="1"/>
  <c r="N197" i="1" s="1"/>
  <c r="M197" i="1" s="1"/>
  <c r="N196" i="1"/>
  <c r="M196" i="1" s="1"/>
  <c r="N195" i="1"/>
  <c r="M195" i="1" s="1"/>
  <c r="N194" i="1"/>
  <c r="M194" i="1"/>
  <c r="N193" i="1"/>
  <c r="M193" i="1" s="1"/>
  <c r="N192" i="1"/>
  <c r="M192" i="1"/>
  <c r="N191" i="1"/>
  <c r="M191" i="1" s="1"/>
  <c r="N190" i="1"/>
  <c r="M190" i="1" s="1"/>
  <c r="N189" i="1"/>
  <c r="M189" i="1" s="1"/>
  <c r="N188" i="1"/>
  <c r="M188" i="1" s="1"/>
  <c r="N187" i="1"/>
  <c r="M187" i="1" s="1"/>
  <c r="N186" i="1"/>
  <c r="M186" i="1" s="1"/>
  <c r="N185" i="1"/>
  <c r="M185" i="1" s="1"/>
  <c r="N184" i="1"/>
  <c r="M184" i="1" s="1"/>
  <c r="N183" i="1"/>
  <c r="M183" i="1" s="1"/>
  <c r="N182" i="1"/>
  <c r="M182" i="1" s="1"/>
  <c r="N181" i="1"/>
  <c r="M181" i="1" s="1"/>
  <c r="N180" i="1"/>
  <c r="M180" i="1" s="1"/>
  <c r="N179" i="1"/>
  <c r="M179" i="1" s="1"/>
  <c r="N178" i="1"/>
  <c r="M178" i="1" s="1"/>
  <c r="N177" i="1"/>
  <c r="M177" i="1" s="1"/>
  <c r="N176" i="1"/>
  <c r="M176" i="1" s="1"/>
  <c r="N175" i="1"/>
  <c r="M175" i="1" s="1"/>
  <c r="N174" i="1"/>
  <c r="M174" i="1" s="1"/>
  <c r="N173" i="1"/>
  <c r="M173" i="1" s="1"/>
  <c r="N172" i="1"/>
  <c r="M172" i="1" s="1"/>
  <c r="N171" i="1"/>
  <c r="M171" i="1" s="1"/>
  <c r="N170" i="1"/>
  <c r="M170" i="1" s="1"/>
  <c r="N169" i="1"/>
  <c r="M169" i="1" s="1"/>
  <c r="N168" i="1"/>
  <c r="M168" i="1" s="1"/>
  <c r="N167" i="1"/>
  <c r="M167" i="1" s="1"/>
  <c r="N166" i="1"/>
  <c r="M166" i="1" s="1"/>
  <c r="N165" i="1"/>
  <c r="M165" i="1" s="1"/>
  <c r="P164" i="1"/>
  <c r="N164" i="1" s="1"/>
  <c r="M164" i="1" s="1"/>
  <c r="P163" i="1"/>
  <c r="N163" i="1" s="1"/>
  <c r="M163" i="1" s="1"/>
  <c r="N162" i="1"/>
  <c r="M162" i="1" s="1"/>
  <c r="N161" i="1"/>
  <c r="M161" i="1" s="1"/>
  <c r="N160" i="1"/>
  <c r="M160" i="1" s="1"/>
  <c r="N159" i="1"/>
  <c r="M159" i="1" s="1"/>
  <c r="N158" i="1"/>
  <c r="M158" i="1" s="1"/>
  <c r="N157" i="1"/>
  <c r="M157" i="1" s="1"/>
  <c r="N156" i="1"/>
  <c r="M156" i="1" s="1"/>
  <c r="Q155" i="1"/>
  <c r="O155" i="1"/>
  <c r="N155" i="1" s="1"/>
  <c r="N154" i="1"/>
  <c r="M154" i="1" s="1"/>
  <c r="N153" i="1"/>
  <c r="M153" i="1" s="1"/>
  <c r="O152" i="1"/>
  <c r="N152" i="1" s="1"/>
  <c r="M152" i="1" s="1"/>
  <c r="O151" i="1"/>
  <c r="N151" i="1" s="1"/>
  <c r="M151" i="1" s="1"/>
  <c r="N150" i="1"/>
  <c r="M150" i="1" s="1"/>
  <c r="N149" i="1"/>
  <c r="M149" i="1" s="1"/>
  <c r="N148" i="1"/>
  <c r="M148" i="1" s="1"/>
  <c r="N147" i="1"/>
  <c r="M147" i="1" s="1"/>
  <c r="R146" i="1"/>
  <c r="Q146" i="1"/>
  <c r="P146" i="1"/>
  <c r="O146" i="1"/>
  <c r="O145" i="1"/>
  <c r="N145" i="1" s="1"/>
  <c r="M145" i="1" s="1"/>
  <c r="N144" i="1"/>
  <c r="M144" i="1" s="1"/>
  <c r="O143" i="1"/>
  <c r="N143" i="1"/>
  <c r="M143" i="1" s="1"/>
  <c r="R142" i="1"/>
  <c r="Q142" i="1"/>
  <c r="M142" i="1" s="1"/>
  <c r="O142" i="1"/>
  <c r="N142" i="1" s="1"/>
  <c r="O141" i="1"/>
  <c r="N141" i="1" s="1"/>
  <c r="M141" i="1" s="1"/>
  <c r="N140" i="1"/>
  <c r="M140" i="1" s="1"/>
  <c r="N139" i="1"/>
  <c r="M139" i="1" s="1"/>
  <c r="O138" i="1"/>
  <c r="N138" i="1" s="1"/>
  <c r="M138" i="1" s="1"/>
  <c r="O137" i="1"/>
  <c r="N137" i="1" s="1"/>
  <c r="M137" i="1" s="1"/>
  <c r="O136" i="1"/>
  <c r="N136" i="1" s="1"/>
  <c r="M136" i="1" s="1"/>
  <c r="N135" i="1"/>
  <c r="M135" i="1" s="1"/>
  <c r="N134" i="1"/>
  <c r="M134" i="1" s="1"/>
  <c r="O133" i="1"/>
  <c r="N133" i="1" s="1"/>
  <c r="M133" i="1" s="1"/>
  <c r="O132" i="1"/>
  <c r="N132" i="1" s="1"/>
  <c r="M132" i="1" s="1"/>
  <c r="O131" i="1"/>
  <c r="N131" i="1"/>
  <c r="M131" i="1" s="1"/>
  <c r="O130" i="1"/>
  <c r="N130" i="1" s="1"/>
  <c r="M130" i="1" s="1"/>
  <c r="O129" i="1"/>
  <c r="N129" i="1" s="1"/>
  <c r="M129" i="1" s="1"/>
  <c r="O128" i="1"/>
  <c r="N128" i="1"/>
  <c r="M128" i="1" s="1"/>
  <c r="P127" i="1"/>
  <c r="O127" i="1"/>
  <c r="P126" i="1"/>
  <c r="O126" i="1"/>
  <c r="P125" i="1"/>
  <c r="O125" i="1"/>
  <c r="P124" i="1"/>
  <c r="O124" i="1"/>
  <c r="N124" i="1"/>
  <c r="M124" i="1" s="1"/>
  <c r="P123" i="1"/>
  <c r="O123" i="1"/>
  <c r="N123" i="1" s="1"/>
  <c r="M123" i="1" s="1"/>
  <c r="P122" i="1"/>
  <c r="O122" i="1"/>
  <c r="N121" i="1"/>
  <c r="M121" i="1" s="1"/>
  <c r="Q120" i="1"/>
  <c r="P120" i="1"/>
  <c r="N120" i="1" s="1"/>
  <c r="P119" i="1"/>
  <c r="N119" i="1" s="1"/>
  <c r="M119" i="1" s="1"/>
  <c r="P118" i="1"/>
  <c r="N118" i="1" s="1"/>
  <c r="M118" i="1" s="1"/>
  <c r="N117" i="1"/>
  <c r="M117" i="1" s="1"/>
  <c r="N116" i="1"/>
  <c r="M116" i="1" s="1"/>
  <c r="N115" i="1"/>
  <c r="M115" i="1" s="1"/>
  <c r="Q114" i="1"/>
  <c r="O114" i="1"/>
  <c r="N114" i="1" s="1"/>
  <c r="Q113" i="1"/>
  <c r="O113" i="1"/>
  <c r="N113" i="1" s="1"/>
  <c r="M113" i="1" s="1"/>
  <c r="O112" i="1"/>
  <c r="N112" i="1" s="1"/>
  <c r="M112" i="1" s="1"/>
  <c r="N111" i="1"/>
  <c r="M111" i="1" s="1"/>
  <c r="N110" i="1"/>
  <c r="M110" i="1" s="1"/>
  <c r="N109" i="1"/>
  <c r="M109" i="1" s="1"/>
  <c r="O108" i="1"/>
  <c r="N108" i="1"/>
  <c r="M108" i="1" s="1"/>
  <c r="O107" i="1"/>
  <c r="N107" i="1" s="1"/>
  <c r="M107" i="1" s="1"/>
  <c r="N106" i="1"/>
  <c r="M106" i="1" s="1"/>
  <c r="O105" i="1"/>
  <c r="N105" i="1"/>
  <c r="M105" i="1" s="1"/>
  <c r="O104" i="1"/>
  <c r="N104" i="1" s="1"/>
  <c r="M104" i="1" s="1"/>
  <c r="O103" i="1"/>
  <c r="N103" i="1" s="1"/>
  <c r="M103" i="1" s="1"/>
  <c r="O102" i="1"/>
  <c r="N102" i="1" s="1"/>
  <c r="M102" i="1" s="1"/>
  <c r="P101" i="1"/>
  <c r="O101" i="1"/>
  <c r="P100" i="1"/>
  <c r="N100" i="1"/>
  <c r="M100" i="1" s="1"/>
  <c r="P99" i="1"/>
  <c r="O99" i="1"/>
  <c r="O98" i="1"/>
  <c r="N98" i="1" s="1"/>
  <c r="M98" i="1" s="1"/>
  <c r="N97" i="1"/>
  <c r="M97" i="1" s="1"/>
  <c r="P96" i="1"/>
  <c r="O96" i="1"/>
  <c r="N95" i="1"/>
  <c r="M95" i="1" s="1"/>
  <c r="N94" i="1"/>
  <c r="M94" i="1" s="1"/>
  <c r="O93" i="1"/>
  <c r="N93" i="1" s="1"/>
  <c r="M93" i="1" s="1"/>
  <c r="O92" i="1"/>
  <c r="N92" i="1" s="1"/>
  <c r="M92" i="1" s="1"/>
  <c r="O91" i="1"/>
  <c r="N91" i="1" s="1"/>
  <c r="M91" i="1" s="1"/>
  <c r="N90" i="1"/>
  <c r="M90" i="1" s="1"/>
  <c r="N89" i="1"/>
  <c r="M89" i="1"/>
  <c r="N88" i="1"/>
  <c r="M88" i="1" s="1"/>
  <c r="N87" i="1"/>
  <c r="M87" i="1" s="1"/>
  <c r="N86" i="1"/>
  <c r="M86" i="1" s="1"/>
  <c r="O85" i="1"/>
  <c r="N85" i="1" s="1"/>
  <c r="M85" i="1" s="1"/>
  <c r="O84" i="1"/>
  <c r="N84" i="1" s="1"/>
  <c r="M84" i="1" s="1"/>
  <c r="O83" i="1"/>
  <c r="N83" i="1" s="1"/>
  <c r="M83" i="1" s="1"/>
  <c r="O82" i="1"/>
  <c r="N82" i="1" s="1"/>
  <c r="M82" i="1" s="1"/>
  <c r="O81" i="1"/>
  <c r="N81" i="1" s="1"/>
  <c r="M81" i="1" s="1"/>
  <c r="O80" i="1"/>
  <c r="N80" i="1" s="1"/>
  <c r="M80" i="1" s="1"/>
  <c r="N79" i="1"/>
  <c r="M79" i="1"/>
  <c r="N78" i="1"/>
  <c r="M78" i="1" s="1"/>
  <c r="O77" i="1"/>
  <c r="N77" i="1" s="1"/>
  <c r="M77" i="1" s="1"/>
  <c r="N76" i="1"/>
  <c r="M76" i="1" s="1"/>
  <c r="Q75" i="1"/>
  <c r="P75" i="1"/>
  <c r="O75" i="1"/>
  <c r="N74" i="1"/>
  <c r="M74" i="1" s="1"/>
  <c r="P73" i="1"/>
  <c r="O73" i="1"/>
  <c r="N72" i="1"/>
  <c r="M72" i="1" s="1"/>
  <c r="P71" i="1"/>
  <c r="O71" i="1"/>
  <c r="P70" i="1"/>
  <c r="O70" i="1"/>
  <c r="P69" i="1"/>
  <c r="N69" i="1" s="1"/>
  <c r="M69" i="1" s="1"/>
  <c r="O69" i="1"/>
  <c r="P68" i="1"/>
  <c r="O68" i="1"/>
  <c r="P67" i="1"/>
  <c r="O67" i="1"/>
  <c r="N67" i="1" s="1"/>
  <c r="M67" i="1" s="1"/>
  <c r="P66" i="1"/>
  <c r="O66" i="1"/>
  <c r="P65" i="1"/>
  <c r="O65" i="1"/>
  <c r="P64" i="1"/>
  <c r="O64" i="1"/>
  <c r="P63" i="1"/>
  <c r="O63" i="1"/>
  <c r="N63" i="1"/>
  <c r="M63" i="1" s="1"/>
  <c r="P62" i="1"/>
  <c r="O62" i="1"/>
  <c r="P61" i="1"/>
  <c r="N61" i="1" s="1"/>
  <c r="M61" i="1" s="1"/>
  <c r="P60" i="1"/>
  <c r="O60" i="1"/>
  <c r="N60" i="1" s="1"/>
  <c r="M60" i="1" s="1"/>
  <c r="N59" i="1"/>
  <c r="M59" i="1" s="1"/>
  <c r="N58" i="1"/>
  <c r="M58" i="1" s="1"/>
  <c r="P57" i="1"/>
  <c r="O57" i="1"/>
  <c r="N57" i="1" s="1"/>
  <c r="M57" i="1" s="1"/>
  <c r="P56" i="1"/>
  <c r="O56" i="1"/>
  <c r="N56" i="1" s="1"/>
  <c r="M56" i="1" s="1"/>
  <c r="P55" i="1"/>
  <c r="N55" i="1" s="1"/>
  <c r="M55" i="1" s="1"/>
  <c r="P54" i="1"/>
  <c r="O54" i="1"/>
  <c r="N54" i="1" s="1"/>
  <c r="M54" i="1" s="1"/>
  <c r="P53" i="1"/>
  <c r="N53" i="1"/>
  <c r="M53" i="1" s="1"/>
  <c r="P52" i="1"/>
  <c r="N52" i="1" s="1"/>
  <c r="M52" i="1" s="1"/>
  <c r="O52" i="1"/>
  <c r="P51" i="1"/>
  <c r="N51" i="1" s="1"/>
  <c r="M51" i="1" s="1"/>
  <c r="P50" i="1"/>
  <c r="O50" i="1"/>
  <c r="N50" i="1"/>
  <c r="M50" i="1" s="1"/>
  <c r="P49" i="1"/>
  <c r="N49" i="1" s="1"/>
  <c r="M49" i="1" s="1"/>
  <c r="P48" i="1"/>
  <c r="O48" i="1"/>
  <c r="R47" i="1"/>
  <c r="Q47" i="1"/>
  <c r="P47" i="1"/>
  <c r="O47" i="1"/>
  <c r="N47" i="1" s="1"/>
  <c r="N46" i="1"/>
  <c r="M46" i="1" s="1"/>
  <c r="O45" i="1"/>
  <c r="N45" i="1" s="1"/>
  <c r="M45" i="1" s="1"/>
  <c r="P44" i="1"/>
  <c r="O44" i="1"/>
  <c r="N44" i="1" s="1"/>
  <c r="M44" i="1" s="1"/>
  <c r="P43" i="1"/>
  <c r="O43" i="1"/>
  <c r="P42" i="1"/>
  <c r="N42" i="1" s="1"/>
  <c r="M42" i="1" s="1"/>
  <c r="O42" i="1"/>
  <c r="Q41" i="1"/>
  <c r="P41" i="1"/>
  <c r="O41" i="1"/>
  <c r="P40" i="1"/>
  <c r="O40" i="1"/>
  <c r="N39" i="1"/>
  <c r="M39" i="1" s="1"/>
  <c r="N38" i="1"/>
  <c r="M38" i="1" s="1"/>
  <c r="N37" i="1"/>
  <c r="M37" i="1" s="1"/>
  <c r="P36" i="1"/>
  <c r="O36" i="1"/>
  <c r="N36" i="1" s="1"/>
  <c r="M36" i="1" s="1"/>
  <c r="P35" i="1"/>
  <c r="O35" i="1"/>
  <c r="N35" i="1"/>
  <c r="M35" i="1" s="1"/>
  <c r="P34" i="1"/>
  <c r="O34" i="1"/>
  <c r="P33" i="1"/>
  <c r="O33" i="1"/>
  <c r="P32" i="1"/>
  <c r="N32" i="1"/>
  <c r="M32" i="1" s="1"/>
  <c r="P31" i="1"/>
  <c r="N31" i="1"/>
  <c r="M31" i="1" s="1"/>
  <c r="N30" i="1"/>
  <c r="M30" i="1" s="1"/>
  <c r="O29" i="1"/>
  <c r="N29" i="1" s="1"/>
  <c r="M29" i="1" s="1"/>
  <c r="O28" i="1"/>
  <c r="O238" i="1" s="1"/>
  <c r="P27" i="1"/>
  <c r="N27" i="1"/>
  <c r="M27" i="1" s="1"/>
  <c r="P26" i="1"/>
  <c r="O26" i="1"/>
  <c r="P25" i="1"/>
  <c r="N25" i="1" s="1"/>
  <c r="M25" i="1" s="1"/>
  <c r="P24" i="1"/>
  <c r="N24" i="1" s="1"/>
  <c r="M24" i="1" s="1"/>
  <c r="O23" i="1"/>
  <c r="N23" i="1" s="1"/>
  <c r="M23" i="1" s="1"/>
  <c r="O22" i="1"/>
  <c r="N22" i="1" s="1"/>
  <c r="M22" i="1" s="1"/>
  <c r="P21" i="1"/>
  <c r="N21" i="1" s="1"/>
  <c r="M21" i="1" s="1"/>
  <c r="N20" i="1"/>
  <c r="M20" i="1" s="1"/>
  <c r="P19" i="1"/>
  <c r="N19" i="1" s="1"/>
  <c r="M19" i="1" s="1"/>
  <c r="N18" i="1"/>
  <c r="M18" i="1" s="1"/>
  <c r="P17" i="1"/>
  <c r="N17" i="1" s="1"/>
  <c r="M17" i="1" s="1"/>
  <c r="P16" i="1"/>
  <c r="N16" i="1" s="1"/>
  <c r="M16" i="1" s="1"/>
  <c r="N15" i="1"/>
  <c r="M15" i="1" s="1"/>
  <c r="P14" i="1"/>
  <c r="N14" i="1" s="1"/>
  <c r="M14" i="1" s="1"/>
  <c r="P13" i="1"/>
  <c r="N13" i="1" s="1"/>
  <c r="M13" i="1" s="1"/>
  <c r="P12" i="1"/>
  <c r="N12" i="1" s="1"/>
  <c r="M12" i="1" s="1"/>
  <c r="N11" i="1"/>
  <c r="M11" i="1" s="1"/>
  <c r="N10" i="1"/>
  <c r="M10" i="1" s="1"/>
  <c r="O9" i="1"/>
  <c r="N9" i="1" s="1"/>
  <c r="M9" i="1" s="1"/>
  <c r="N8" i="1"/>
  <c r="M8" i="1" s="1"/>
  <c r="N7" i="1"/>
  <c r="M7" i="1" s="1"/>
  <c r="P6" i="1"/>
  <c r="N6" i="1" s="1"/>
  <c r="N26" i="1" l="1"/>
  <c r="M26" i="1" s="1"/>
  <c r="N66" i="1"/>
  <c r="M66" i="1" s="1"/>
  <c r="M47" i="1"/>
  <c r="N40" i="1"/>
  <c r="M40" i="1" s="1"/>
  <c r="N43" i="1"/>
  <c r="M43" i="1" s="1"/>
  <c r="N96" i="1"/>
  <c r="M96" i="1" s="1"/>
  <c r="M155" i="1"/>
  <c r="N125" i="1"/>
  <c r="M125" i="1" s="1"/>
  <c r="N41" i="1"/>
  <c r="M41" i="1" s="1"/>
  <c r="N71" i="1"/>
  <c r="M71" i="1" s="1"/>
  <c r="N122" i="1"/>
  <c r="M122" i="1" s="1"/>
  <c r="N222" i="1"/>
  <c r="M222" i="1" s="1"/>
  <c r="N34" i="1"/>
  <c r="M34" i="1" s="1"/>
  <c r="N48" i="1"/>
  <c r="M48" i="1" s="1"/>
  <c r="N68" i="1"/>
  <c r="M68" i="1" s="1"/>
  <c r="N126" i="1"/>
  <c r="M126" i="1" s="1"/>
  <c r="N208" i="1"/>
  <c r="M208" i="1" s="1"/>
  <c r="N223" i="1"/>
  <c r="M223" i="1" s="1"/>
  <c r="M114" i="1"/>
  <c r="N28" i="1"/>
  <c r="M28" i="1" s="1"/>
  <c r="N127" i="1"/>
  <c r="M127" i="1" s="1"/>
  <c r="N146" i="1"/>
  <c r="M146" i="1" s="1"/>
  <c r="N101" i="1"/>
  <c r="M101" i="1" s="1"/>
  <c r="Q235" i="1"/>
  <c r="N70" i="1"/>
  <c r="M70" i="1" s="1"/>
  <c r="N33" i="1"/>
  <c r="M33" i="1" s="1"/>
  <c r="N65" i="1"/>
  <c r="M65" i="1" s="1"/>
  <c r="N75" i="1"/>
  <c r="M75" i="1" s="1"/>
  <c r="N209" i="1"/>
  <c r="M209" i="1" s="1"/>
  <c r="N221" i="1"/>
  <c r="M221" i="1" s="1"/>
  <c r="N62" i="1"/>
  <c r="M62" i="1" s="1"/>
  <c r="N99" i="1"/>
  <c r="M99" i="1" s="1"/>
  <c r="M120" i="1"/>
  <c r="P235" i="1"/>
  <c r="N64" i="1"/>
  <c r="M64" i="1" s="1"/>
  <c r="O235" i="1"/>
  <c r="M6" i="1"/>
  <c r="N73" i="1"/>
  <c r="M73" i="1" s="1"/>
  <c r="N2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8" authorId="0" shapeId="0" xr:uid="{66A31818-DE77-4CE4-942C-2DDCA3EC2A17}">
      <text>
        <r>
          <rPr>
            <b/>
            <sz val="9"/>
            <color indexed="81"/>
            <rFont val="Tahoma"/>
            <family val="2"/>
          </rPr>
          <t>Lucy Gonzalez Rodriguez:</t>
        </r>
        <r>
          <rPr>
            <sz val="9"/>
            <color indexed="81"/>
            <rFont val="Tahoma"/>
            <family val="2"/>
          </rPr>
          <t xml:space="preserve">
Recursos de Inversión</t>
        </r>
      </text>
    </comment>
    <comment ref="P28" authorId="0" shapeId="0" xr:uid="{9A47A650-0DEE-40C5-8732-6A85230ED986}">
      <text>
        <r>
          <rPr>
            <b/>
            <sz val="9"/>
            <color indexed="81"/>
            <rFont val="Tahoma"/>
            <family val="2"/>
          </rPr>
          <t>Lucy Gonzalez Rodriguez:</t>
        </r>
        <r>
          <rPr>
            <sz val="9"/>
            <color indexed="81"/>
            <rFont val="Tahoma"/>
            <family val="2"/>
          </rPr>
          <t xml:space="preserve">
Recursos de Inversión</t>
        </r>
      </text>
    </comment>
    <comment ref="Q37" authorId="1" shapeId="0" xr:uid="{D058FC43-557A-46D8-B2ED-5E32D29ED81F}">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67" authorId="2" shapeId="0" xr:uid="{46209010-5934-4FB9-A0CF-A9534E06668D}">
      <text>
        <r>
          <rPr>
            <b/>
            <sz val="9"/>
            <color indexed="81"/>
            <rFont val="Tahoma"/>
            <family val="2"/>
          </rPr>
          <t>Sergio Daniel Perez Pintor:</t>
        </r>
        <r>
          <rPr>
            <sz val="9"/>
            <color indexed="81"/>
            <rFont val="Tahoma"/>
            <family val="2"/>
          </rPr>
          <t xml:space="preserve">
Valor mensual por 12 meses</t>
        </r>
      </text>
    </comment>
    <comment ref="T75" authorId="2" shapeId="0" xr:uid="{64FFD0EB-2A2C-4F1F-92A4-3C3986C27C47}">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<sst xmlns="http://schemas.openxmlformats.org/spreadsheetml/2006/main" count="3651" uniqueCount="580">
  <si>
    <t>Tabla de Consolidación de necesidades por Dependencia - Plan Anual de Adquisiciones 2020</t>
  </si>
  <si>
    <t>Dependencia Responsable (Selección la que corresponde)</t>
  </si>
  <si>
    <t>Código UNSPSC</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</si>
  <si>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</si>
  <si>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</si>
  <si>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</si>
  <si>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</si>
  <si>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</si>
  <si>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</si>
  <si>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</si>
  <si>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</si>
  <si>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</si>
  <si>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</si>
  <si>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</si>
  <si>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</si>
  <si>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</si>
  <si>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</si>
  <si>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</si>
  <si>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</si>
  <si>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</si>
  <si>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</si>
  <si>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</si>
  <si>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</si>
  <si>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</si>
  <si>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</si>
  <si>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</si>
  <si>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</si>
  <si>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</si>
  <si>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</si>
  <si>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</si>
  <si>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</si>
  <si>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</si>
  <si>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</si>
  <si>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</si>
  <si>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</si>
  <si>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</si>
  <si>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</si>
  <si>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</si>
  <si>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</si>
  <si>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</si>
  <si>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</si>
  <si>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</si>
  <si>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</si>
  <si>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</si>
  <si>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</si>
  <si>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</si>
  <si>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</si>
  <si>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</si>
  <si>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93141500
93121600</t>
  </si>
  <si>
    <t>Aunar esfuerzos entre ARN y el Programa Mundial de Alimentos- PMA, para fortalecer los modelos en seguridad alimentaria que permitan a las formas asociativas seleccionadas, continuar con su autoabastecimiento alimentario, mejoramiento en su nivel nutricional, que sus excedentes de producción, sean incluidos en procesos de comercialización, fortaleciendo su estructura administrativa, contribuyendo a la estabilización socioeconómica de la población en proceso de reincorporación, liderado por la Agencia para la Reincorporación y Normalización (ARN).</t>
  </si>
  <si>
    <t>Septiembre</t>
  </si>
  <si>
    <t>Costos Programa de Reincorporación Económica y Social (Misional) - Convenio Programa Mundial de Alimentos</t>
  </si>
  <si>
    <t>En Tramite</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</si>
  <si>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</si>
  <si>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</si>
  <si>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</si>
  <si>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</si>
  <si>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</si>
  <si>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</si>
  <si>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</si>
  <si>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</si>
  <si>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</si>
  <si>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</si>
  <si>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</si>
  <si>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</si>
  <si>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</si>
  <si>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</si>
  <si>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</si>
  <si>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</si>
  <si>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</si>
  <si>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Adición y prórroga</t>
    </r>
    <r>
      <rPr>
        <sz val="11"/>
        <color theme="1"/>
        <rFont val="Arial"/>
        <family val="2"/>
      </rPr>
      <t xml:space="preserve"> "Desarrollar procesos comunitarios orientados a la reconciliación y las garantías de no repetición en articulación con planes, programas y proyectos derivados del Acuerdo Final - Vigencia Futura del 2020 Contrato N° 1481 de 2019"
</t>
    </r>
  </si>
  <si>
    <t>Octubre</t>
  </si>
  <si>
    <t>Adición</t>
  </si>
  <si>
    <t>Costor Programa de Reincorporación Social y Económica (Msional)
Procesos comunitarios para la reconciliación</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</si>
  <si>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</si>
  <si>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Recursos por asignar</t>
  </si>
  <si>
    <t>DPR - Subdirección Territorial - Grupo de Diseño</t>
  </si>
  <si>
    <r>
      <rPr>
        <b/>
        <sz val="11"/>
        <color theme="1"/>
        <rFont val="Arial"/>
        <family val="2"/>
      </rPr>
      <t>Recurso por Asignar</t>
    </r>
    <r>
      <rPr>
        <sz val="11"/>
        <color theme="1"/>
        <rFont val="Arial"/>
        <family val="2"/>
      </rPr>
      <t xml:space="preserve"> "Contratar procesos de Implementación de la estrategia de cuidado al cuidador" </t>
    </r>
  </si>
  <si>
    <t>Implementación de la estrategia de cuidado al cuidador</t>
  </si>
  <si>
    <t>Francine Botero Garnica</t>
  </si>
  <si>
    <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</si>
  <si>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</si>
  <si>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r>
      <rPr>
        <b/>
        <sz val="11"/>
        <color theme="1"/>
        <rFont val="Arial"/>
        <family val="2"/>
      </rPr>
      <t>Recurso por asignar</t>
    </r>
    <r>
      <rPr>
        <sz val="11"/>
        <color theme="1"/>
        <rFont val="Arial"/>
        <family val="2"/>
      </rPr>
      <t xml:space="preserve"> "Contratar el desarrollo de procesos de caracterización y la estructuración de estrategias de formación y fortalecimiento"</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</si>
  <si>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</si>
  <si>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</si>
  <si>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</si>
  <si>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</si>
  <si>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</si>
  <si>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</si>
  <si>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</si>
  <si>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</si>
  <si>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</si>
  <si>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</si>
  <si>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</si>
  <si>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</si>
  <si>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</si>
  <si>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</si>
  <si>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</si>
  <si>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</si>
  <si>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</si>
  <si>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</si>
  <si>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</si>
  <si>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</si>
  <si>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</si>
  <si>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</si>
  <si>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</si>
  <si>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</si>
  <si>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</si>
  <si>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</si>
  <si>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</si>
  <si>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</si>
  <si>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</si>
  <si>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</si>
  <si>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</si>
  <si>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</si>
  <si>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</si>
  <si>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</si>
  <si>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</si>
  <si>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</si>
  <si>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</si>
  <si>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</si>
  <si>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r>
      <rPr>
        <b/>
        <sz val="11"/>
        <color theme="1"/>
        <rFont val="Arial"/>
        <family val="2"/>
      </rPr>
      <t>Recurso por asignar</t>
    </r>
    <r>
      <rPr>
        <sz val="11"/>
        <color theme="1"/>
        <rFont val="Arial"/>
        <family val="2"/>
      </rPr>
      <t xml:space="preserve"> "Aunar esfuerzos para realizar el proceso de certificación de discapacidad"</t>
    </r>
  </si>
  <si>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</si>
  <si>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2021</t>
    </r>
  </si>
  <si>
    <t>Desarrollo de modelos educativos flexibles para jóvenes y adultos</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</si>
  <si>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</si>
  <si>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</si>
  <si>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</si>
  <si>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</si>
  <si>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</si>
  <si>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</si>
  <si>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</si>
  <si>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</si>
  <si>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</si>
  <si>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</si>
  <si>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</si>
  <si>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</si>
  <si>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</si>
  <si>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</si>
  <si>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</si>
  <si>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</si>
  <si>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</si>
  <si>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</si>
  <si>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</si>
  <si>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</si>
  <si>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</si>
  <si>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</si>
  <si>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</si>
  <si>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</si>
  <si>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</si>
  <si>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</si>
  <si>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</si>
  <si>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</si>
  <si>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</si>
  <si>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</si>
  <si>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</si>
  <si>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</si>
  <si>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</si>
  <si>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</si>
  <si>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</si>
  <si>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</si>
  <si>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</si>
  <si>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</si>
  <si>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</si>
  <si>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</si>
  <si>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</si>
  <si>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</si>
  <si>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</si>
  <si>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</si>
  <si>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</si>
  <si>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</si>
  <si>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</si>
  <si>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</si>
  <si>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</si>
  <si>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</si>
  <si>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</si>
  <si>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</si>
  <si>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</si>
  <si>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</si>
  <si>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</si>
  <si>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</si>
  <si>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theme="1"/>
        <rFont val="Arial"/>
        <family val="2"/>
      </rPr>
      <t>Contrato 1551 de 2021</t>
    </r>
  </si>
  <si>
    <t>5932211 
Ext 10601</t>
  </si>
  <si>
    <r>
      <rPr>
        <b/>
        <sz val="11"/>
        <color theme="1"/>
        <rFont val="Arial"/>
        <family val="2"/>
      </rPr>
      <t>Recurso por Asignar</t>
    </r>
    <r>
      <rPr>
        <sz val="11"/>
        <color theme="1"/>
        <rFont val="Arial"/>
        <family val="2"/>
      </rPr>
      <t xml:space="preserve"> "Nube privada"</t>
    </r>
  </si>
  <si>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</si>
  <si>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</si>
  <si>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</si>
  <si>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</si>
  <si>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</si>
  <si>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</si>
  <si>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</si>
  <si>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</si>
  <si>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</si>
  <si>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</si>
  <si>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</si>
  <si>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</si>
  <si>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</si>
  <si>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</si>
  <si>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</si>
  <si>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</si>
  <si>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</si>
  <si>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</si>
  <si>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</si>
  <si>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Selección Abreviada - Subasta Inversa</t>
  </si>
  <si>
    <t>Servicios Tecnológicos para la ARN</t>
  </si>
  <si>
    <t>Merly Parra</t>
  </si>
  <si>
    <t>Adquisición de cámaras fotográficas y sus accesorios que requiere la Oficina Asesora de Comunicaciones de la ARN</t>
  </si>
  <si>
    <t>Mauricio Forero (comunicaciones)
Merly Parra</t>
  </si>
  <si>
    <r>
      <t xml:space="preserve">Adquisición, instalación y puesta en funcionamiento de gabinetes tipo Mini Data Center y servicios conexos para la ARN </t>
    </r>
    <r>
      <rPr>
        <b/>
        <sz val="11"/>
        <color theme="1"/>
        <rFont val="Arial"/>
        <family val="2"/>
      </rPr>
      <t>Contrato N° 1618 de 2020</t>
    </r>
  </si>
  <si>
    <t>Julio</t>
  </si>
  <si>
    <t>Marcela Ramírez Vélez</t>
  </si>
  <si>
    <r>
      <rPr>
        <b/>
        <sz val="11"/>
        <color theme="1"/>
        <rFont val="Arial"/>
        <family val="2"/>
      </rPr>
      <t>Recurso por asignar</t>
    </r>
    <r>
      <rPr>
        <sz val="11"/>
        <color theme="1"/>
        <rFont val="Arial"/>
        <family val="2"/>
      </rPr>
      <t xml:space="preserve"> "Adquisición, instalación y puesta en funcionamiento de gabinetes tipo Mini Data"</t>
    </r>
  </si>
  <si>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</si>
  <si>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</si>
  <si>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</si>
  <si>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r>
      <rPr>
        <b/>
        <sz val="11"/>
        <color theme="1"/>
        <rFont val="Arial"/>
        <family val="2"/>
      </rPr>
      <t>Recurso por asignar</t>
    </r>
    <r>
      <rPr>
        <sz val="11"/>
        <color theme="1"/>
        <rFont val="Arial"/>
        <family val="2"/>
      </rPr>
      <t xml:space="preserve"> "Renovación y/o adquisición de licencias - Productos Microsoft - para la ARN"</t>
    </r>
  </si>
  <si>
    <t xml:space="preserve">Renovación y/o adquisición de licencias - VMWARE - para la ARN. </t>
  </si>
  <si>
    <t>Renovación y/o adquisición de licencias - Adobe - para la ARN.</t>
  </si>
  <si>
    <r>
      <rPr>
        <b/>
        <sz val="11"/>
        <color theme="1"/>
        <rFont val="Arial"/>
        <family val="2"/>
      </rPr>
      <t>Adicion N° 1</t>
    </r>
    <r>
      <rPr>
        <sz val="11"/>
        <color theme="1"/>
        <rFont val="Arial"/>
        <family val="2"/>
      </rPr>
      <t xml:space="preserve"> -Renovación y/o adquisición de licencias - Solarwinds - para la ARN- contrato 1634 de 2018. </t>
    </r>
  </si>
  <si>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</si>
  <si>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</si>
  <si>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</si>
  <si>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</si>
  <si>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</si>
  <si>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t>Renovación y/o adquisición de licencias - DevExpress - para la ARN Contrato N° 1653 de 2020</t>
  </si>
  <si>
    <t>Mínima Cuantía</t>
  </si>
  <si>
    <t>Recurso por Asignar "Renovación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</si>
  <si>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</si>
  <si>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</si>
  <si>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</si>
  <si>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</si>
  <si>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</si>
  <si>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</si>
  <si>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</si>
  <si>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rPr>
        <b/>
        <sz val="11"/>
        <color theme="1"/>
        <rFont val="Arial"/>
        <family val="2"/>
      </rPr>
      <t>Adicion</t>
    </r>
    <r>
      <rPr>
        <sz val="11"/>
        <color theme="1"/>
        <rFont val="Arial"/>
        <family val="2"/>
      </rPr>
      <t xml:space="preserve"> al "Proceso Servicios Tecnológicos - Contrato 1807 del 2018 (Vig 19 Nov 2018 - 31 Jul 2022) (Servicio mesa de ayuda, etc)"</t>
    </r>
  </si>
  <si>
    <r>
      <t>Servicio de Soporte, capacitación y migración de datos Sharepoint (Vig 01 Ene 2020 - 31 dic 2020) AMP -44643 -</t>
    </r>
    <r>
      <rPr>
        <b/>
        <sz val="11"/>
        <color theme="1"/>
        <rFont val="Arial"/>
        <family val="2"/>
      </rPr>
      <t>Contrato N° 1002 de 2020</t>
    </r>
  </si>
  <si>
    <t>Hernan Lotero</t>
  </si>
  <si>
    <r>
      <rPr>
        <b/>
        <sz val="11"/>
        <color theme="1"/>
        <rFont val="Arial"/>
        <family val="2"/>
      </rPr>
      <t>Adicion al contrato "</t>
    </r>
    <r>
      <rPr>
        <sz val="11"/>
        <color theme="1"/>
        <rFont val="Arial"/>
        <family val="2"/>
      </rPr>
      <t>Servicio de Soporte, capacitación y migración de datos Sharepoint (Vig 01 Ene 2020 - 31 dic 2020) AMP -44643 -</t>
    </r>
    <r>
      <rPr>
        <b/>
        <sz val="11"/>
        <color theme="1"/>
        <rFont val="Arial"/>
        <family val="2"/>
      </rPr>
      <t>Contrato N° 1002 de 2020"</t>
    </r>
  </si>
  <si>
    <t>Certificaciones digitales</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</si>
  <si>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</si>
  <si>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</si>
  <si>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</si>
  <si>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</si>
  <si>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</si>
  <si>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</si>
  <si>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</si>
  <si>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</si>
  <si>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</si>
  <si>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</si>
  <si>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Selección Abreviada - Menor Cuantía</t>
  </si>
  <si>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</si>
  <si>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</si>
  <si>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</si>
  <si>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</si>
  <si>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</si>
  <si>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</si>
  <si>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</si>
  <si>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</si>
  <si>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</si>
  <si>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</si>
  <si>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r>
      <rPr>
        <b/>
        <sz val="11"/>
        <color theme="1"/>
        <rFont val="Arial"/>
        <family val="2"/>
      </rPr>
      <t>Recurso por Asignar</t>
    </r>
    <r>
      <rPr>
        <sz val="11"/>
        <color theme="1"/>
        <rFont val="Arial"/>
        <family val="2"/>
      </rPr>
      <t xml:space="preserve"> "Adquisición de elementos de protección personal, ergonómicos" - </t>
    </r>
  </si>
  <si>
    <t>86101705
86101802
86101808
86111604</t>
  </si>
  <si>
    <t>Servicio de Capacitacion para funcionarios de la ARN - PIC</t>
  </si>
  <si>
    <t>Capacitación, cursos y seminarios</t>
  </si>
  <si>
    <t>5932211 
Ext 10605</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</si>
  <si>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</si>
  <si>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</si>
  <si>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r>
      <rPr>
        <b/>
        <sz val="11"/>
        <color theme="1"/>
        <rFont val="Arial"/>
        <family val="2"/>
      </rPr>
      <t>Recurso por Asignar</t>
    </r>
    <r>
      <rPr>
        <sz val="11"/>
        <color theme="1"/>
        <rFont val="Arial"/>
        <family val="2"/>
      </rPr>
      <t xml:space="preserve"> "Servicio de Capacitacion para funcionarios de la ARN - Congreso Derecho Procesal ICDP"</t>
    </r>
  </si>
  <si>
    <t>5932211 
Ext 10608</t>
  </si>
  <si>
    <r>
      <rPr>
        <b/>
        <sz val="11"/>
        <color theme="1"/>
        <rFont val="Arial"/>
        <family val="2"/>
      </rPr>
      <t>Recurso por Asignar</t>
    </r>
    <r>
      <rPr>
        <sz val="11"/>
        <color theme="1"/>
        <rFont val="Arial"/>
        <family val="2"/>
      </rPr>
      <t xml:space="preserve"> "Servicio de Capacitacion para funcionarios de la ARN - Congreso Derecho Disciplinario ICDD"</t>
    </r>
  </si>
  <si>
    <t>5932211 
Ext 10609</t>
  </si>
  <si>
    <r>
      <rPr>
        <b/>
        <sz val="11"/>
        <color theme="1"/>
        <rFont val="Arial"/>
        <family val="2"/>
      </rPr>
      <t>Recurso por Asignar</t>
    </r>
    <r>
      <rPr>
        <sz val="11"/>
        <color theme="1"/>
        <rFont val="Arial"/>
        <family val="2"/>
      </rPr>
      <t xml:space="preserve"> "Servicio de Capacitacion para funcionarios de la ARN - Actualización Tributaria"</t>
    </r>
  </si>
  <si>
    <t>5932211 
Ext 10610</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</si>
  <si>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</si>
  <si>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</si>
  <si>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</si>
  <si>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</si>
  <si>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</si>
  <si>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</si>
  <si>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</si>
  <si>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49201601
49201609
49201610
49201620
49221506</t>
  </si>
  <si>
    <t xml:space="preserve">Adquisición de elementos (Kit de estilo de vida saludable) para el fortalecimiento de la salud física y mental de los funcionarios y contratistas de la  ARN en el marco del Plan de Trabajo de Sistema de Gestión de Seguridad y Salud en el Trabajo de la vigencia 2020. </t>
  </si>
  <si>
    <t>Actividad de Bienestar Social - Salud y educación Física
Organización y logistica de las actividades a realizar por concepto de selección, salud ocupacional, bienestar y capacitación.</t>
  </si>
  <si>
    <t>A-02-02-01-003-006
A-02-02-01-002-007
A-02-02-01-003-008</t>
  </si>
  <si>
    <t>85122201
85121801
85121803
85121700</t>
  </si>
  <si>
    <t>Realización de Pruebas COVID-19 a los empleados y contratistas de la ARN</t>
  </si>
  <si>
    <t>Exámenes Médicos Ocupacionales, actividades semana de la salud y vacunación ( exámenes ingreso y retiro concurso)</t>
  </si>
  <si>
    <t>A-02-02-02-009-003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</si>
  <si>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</si>
  <si>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</si>
  <si>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</si>
  <si>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</si>
  <si>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</si>
  <si>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</si>
  <si>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</si>
  <si>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</si>
  <si>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</si>
  <si>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</si>
  <si>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</si>
  <si>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</si>
  <si>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</si>
  <si>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</si>
  <si>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</si>
  <si>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r>
      <rPr>
        <b/>
        <sz val="11"/>
        <color theme="1"/>
        <rFont val="Arial"/>
        <family val="2"/>
      </rPr>
      <t>Recurso por Asignar</t>
    </r>
    <r>
      <rPr>
        <sz val="11"/>
        <color theme="1"/>
        <rFont val="Arial"/>
        <family val="2"/>
      </rPr>
      <t xml:space="preserve"> "Adquisición de elementos de Bioseguridad para afrontar la emergencia por COVID-19"</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</si>
  <si>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</si>
  <si>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</si>
  <si>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</si>
  <si>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</si>
  <si>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</si>
  <si>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</si>
  <si>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</si>
  <si>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</si>
  <si>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</si>
  <si>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</si>
  <si>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r>
      <rPr>
        <b/>
        <sz val="11"/>
        <color theme="1"/>
        <rFont val="Arial"/>
        <family val="2"/>
      </rPr>
      <t>Recurso por Asignar</t>
    </r>
    <r>
      <rPr>
        <sz val="11"/>
        <color theme="1"/>
        <rFont val="Arial"/>
        <family val="2"/>
      </rPr>
      <t xml:space="preserve"> Adquisición de Firmas Digitales SIIF (Token)</t>
    </r>
  </si>
  <si>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</si>
  <si>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</si>
  <si>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</si>
  <si>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</si>
  <si>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</si>
  <si>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</si>
  <si>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</si>
  <si>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</si>
  <si>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</si>
  <si>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</si>
  <si>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</si>
  <si>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</si>
  <si>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</si>
  <si>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</si>
  <si>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</si>
  <si>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</si>
  <si>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</si>
  <si>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</si>
  <si>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</si>
  <si>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</si>
  <si>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</si>
  <si>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</si>
  <si>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</si>
  <si>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</si>
  <si>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</si>
  <si>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</si>
  <si>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</si>
  <si>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</si>
  <si>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</si>
  <si>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</si>
  <si>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</si>
  <si>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</si>
  <si>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</si>
  <si>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</si>
  <si>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</si>
  <si>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</si>
  <si>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</si>
  <si>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</si>
  <si>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</si>
  <si>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</si>
  <si>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</si>
  <si>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</si>
  <si>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</si>
  <si>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</si>
  <si>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</si>
  <si>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</si>
  <si>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</si>
  <si>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</si>
  <si>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</si>
  <si>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</si>
  <si>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</si>
  <si>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</si>
  <si>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</si>
  <si>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t>44121600
44121700
44121800
44122100
44122001</t>
  </si>
  <si>
    <r>
      <rPr>
        <b/>
        <sz val="11"/>
        <color theme="1"/>
        <rFont val="Arial"/>
        <family val="2"/>
      </rPr>
      <t>Recurso por aisgnar</t>
    </r>
    <r>
      <rPr>
        <sz val="11"/>
        <color theme="1"/>
        <rFont val="Arial"/>
        <family val="2"/>
      </rPr>
      <t xml:space="preserve"> "Suministro de papelería"</t>
    </r>
  </si>
  <si>
    <t>A-03-03-01-001
A-03-03-01-003</t>
  </si>
  <si>
    <t>445 00 20
Ext 10600</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</si>
  <si>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</si>
  <si>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</si>
  <si>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</si>
  <si>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Recurso por Asignar "Suministro de Tóner"</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</si>
  <si>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</si>
  <si>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</si>
  <si>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</si>
  <si>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</si>
  <si>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</si>
  <si>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</si>
  <si>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r>
      <rPr>
        <b/>
        <sz val="11"/>
        <color theme="1"/>
        <rFont val="Arial"/>
        <family val="2"/>
      </rPr>
      <t>Recurso por asignar</t>
    </r>
    <r>
      <rPr>
        <sz val="11"/>
        <color theme="1"/>
        <rFont val="Arial"/>
        <family val="2"/>
      </rPr>
      <t xml:space="preserve"> "Suministro de insumos de archivo"</t>
    </r>
  </si>
  <si>
    <t>A-02-02-01-004</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</si>
  <si>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</si>
  <si>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</si>
  <si>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</si>
  <si>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</si>
  <si>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</si>
  <si>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</si>
  <si>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</si>
  <si>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1</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</si>
  <si>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</si>
  <si>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</si>
  <si>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</si>
  <si>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</si>
  <si>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</si>
  <si>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</si>
  <si>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</si>
  <si>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</si>
  <si>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</si>
  <si>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</si>
  <si>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</si>
  <si>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</si>
  <si>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</si>
  <si>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</si>
  <si>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</si>
  <si>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</si>
  <si>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</si>
  <si>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</si>
  <si>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</si>
  <si>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</si>
  <si>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</si>
  <si>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</si>
  <si>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</si>
  <si>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</si>
  <si>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</si>
  <si>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</si>
  <si>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</si>
  <si>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</si>
  <si>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</si>
  <si>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</si>
  <si>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</si>
  <si>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</si>
  <si>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</si>
  <si>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</si>
  <si>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</si>
  <si>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</si>
  <si>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</si>
  <si>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</si>
  <si>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</si>
  <si>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</si>
  <si>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</si>
  <si>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</si>
  <si>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r>
      <rPr>
        <b/>
        <sz val="10"/>
        <color theme="1"/>
        <rFont val="Arial"/>
        <family val="2"/>
      </rPr>
      <t>Recurso por Asignar</t>
    </r>
    <r>
      <rPr>
        <sz val="10"/>
        <color theme="1"/>
        <rFont val="Arial"/>
        <family val="2"/>
      </rPr>
      <t xml:space="preserve"> "Aseo, cafetería y mantenimiento" </t>
    </r>
  </si>
  <si>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</si>
  <si>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</si>
  <si>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</si>
  <si>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</si>
  <si>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</si>
  <si>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r>
      <rPr>
        <b/>
        <sz val="11"/>
        <color theme="1"/>
        <rFont val="Arial"/>
        <family val="2"/>
      </rPr>
      <t>Recurso por Asignar</t>
    </r>
    <r>
      <rPr>
        <sz val="11"/>
        <color theme="1"/>
        <rFont val="Arial"/>
        <family val="2"/>
      </rPr>
      <t xml:space="preserve"> "Aseo, cafetería y Mantenimiento –R6 y R"</t>
    </r>
  </si>
  <si>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</si>
  <si>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</si>
  <si>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</si>
  <si>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</si>
  <si>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</si>
  <si>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</si>
  <si>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</si>
  <si>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</si>
  <si>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</si>
  <si>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</si>
  <si>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</si>
  <si>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</si>
  <si>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</si>
  <si>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</si>
  <si>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r>
      <t xml:space="preserve">Contrato de arrendamiento ARN Nueva sede Santander de Quilichao. </t>
    </r>
    <r>
      <rPr>
        <b/>
        <sz val="11"/>
        <color theme="1"/>
        <rFont val="Arial"/>
        <family val="2"/>
      </rPr>
      <t>Contrato N° 1077 de 2020</t>
    </r>
  </si>
  <si>
    <r>
      <rPr>
        <b/>
        <sz val="11"/>
        <color theme="1"/>
        <rFont val="Arial"/>
        <family val="2"/>
      </rPr>
      <t>Recurso por asignar</t>
    </r>
    <r>
      <rPr>
        <sz val="11"/>
        <color theme="1"/>
        <rFont val="Arial"/>
        <family val="2"/>
      </rPr>
      <t xml:space="preserve"> "Contrato de arrendamiento ARN Nueva sede Santander de Quilichao"</t>
    </r>
  </si>
  <si>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</si>
  <si>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</si>
  <si>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</si>
  <si>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</si>
  <si>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</si>
  <si>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</si>
  <si>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</si>
  <si>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</si>
  <si>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</si>
  <si>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</si>
  <si>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</si>
  <si>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</si>
  <si>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</si>
  <si>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</si>
  <si>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</si>
  <si>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</si>
  <si>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</si>
  <si>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</si>
  <si>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</si>
  <si>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</si>
  <si>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</si>
  <si>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</si>
  <si>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</si>
  <si>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</si>
  <si>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</si>
  <si>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</si>
  <si>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</si>
  <si>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</si>
  <si>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</si>
  <si>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</si>
  <si>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</si>
  <si>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</si>
  <si>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</si>
  <si>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r>
      <t xml:space="preserve">Adecuación de los inmuebles donde funciona las sedes de la Entidad </t>
    </r>
    <r>
      <rPr>
        <b/>
        <sz val="11"/>
        <color theme="1"/>
        <rFont val="Arial"/>
        <family val="2"/>
      </rPr>
      <t>Contrato 1546 de 2020</t>
    </r>
  </si>
  <si>
    <t xml:space="preserve">Abril  </t>
  </si>
  <si>
    <t>Adecuaciones de las sedes de la ARN</t>
  </si>
  <si>
    <t>A-03-03-01-001
A-02-02-02-005-004</t>
  </si>
  <si>
    <r>
      <rPr>
        <b/>
        <sz val="11"/>
        <color theme="1"/>
        <rFont val="Arial"/>
        <family val="2"/>
      </rPr>
      <t>Recurso por asignar</t>
    </r>
    <r>
      <rPr>
        <sz val="11"/>
        <color theme="1"/>
        <rFont val="Arial"/>
        <family val="2"/>
      </rPr>
      <t xml:space="preserve"> "Adecuación de los inmuebles "</t>
    </r>
  </si>
  <si>
    <t>A-03-03-01-001
A-02-02-02-005-005</t>
  </si>
  <si>
    <r>
      <rPr>
        <b/>
        <sz val="11"/>
        <color theme="1"/>
        <rFont val="Arial"/>
        <family val="2"/>
      </rPr>
      <t>Recurso por asignar</t>
    </r>
    <r>
      <rPr>
        <sz val="11"/>
        <color theme="1"/>
        <rFont val="Arial"/>
        <family val="2"/>
      </rPr>
      <t xml:space="preserve"> "Adecuación de los inmuebles"</t>
    </r>
  </si>
  <si>
    <t xml:space="preserve">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</si>
  <si>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</si>
  <si>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</si>
  <si>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</si>
  <si>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r>
      <rPr>
        <b/>
        <sz val="11"/>
        <color theme="1"/>
        <rFont val="Arial"/>
        <family val="2"/>
      </rPr>
      <t>Recurso por Asignar</t>
    </r>
    <r>
      <rPr>
        <sz val="11"/>
        <color theme="1"/>
        <rFont val="Arial"/>
        <family val="2"/>
      </rPr>
      <t xml:space="preserve"> "ADQUISICIÓN DE MOBILIARIO"</t>
    </r>
  </si>
  <si>
    <t>Adquisición de dotación de elementos para la sala amiga en la sede Santander</t>
  </si>
  <si>
    <t>Adquisición elementos salas amigas</t>
  </si>
  <si>
    <t>72152104              30141500                72152100</t>
  </si>
  <si>
    <r>
      <t xml:space="preserve">Suministro e instalación de películas control solar </t>
    </r>
    <r>
      <rPr>
        <b/>
        <sz val="11"/>
        <color theme="1"/>
        <rFont val="Arial"/>
        <family val="2"/>
      </rPr>
      <t>Contrato N° 1652 de 2020</t>
    </r>
  </si>
  <si>
    <t xml:space="preserve">Adquisición de elementos requeridos para el funcionamiento </t>
  </si>
  <si>
    <t>A-02-02-01-003-006
A-02-02-02-005-004</t>
  </si>
  <si>
    <t>52131600
72153600</t>
  </si>
  <si>
    <r>
      <t xml:space="preserve">Suministro e instalación de persianas control solar </t>
    </r>
    <r>
      <rPr>
        <b/>
        <sz val="11"/>
        <color theme="1"/>
        <rFont val="Arial"/>
        <family val="2"/>
      </rPr>
      <t>Contrato N° 1652 de 2020</t>
    </r>
  </si>
  <si>
    <r>
      <rPr>
        <b/>
        <sz val="11"/>
        <color theme="1"/>
        <rFont val="Arial"/>
        <family val="2"/>
      </rPr>
      <t>Recurso por asignar</t>
    </r>
    <r>
      <rPr>
        <sz val="11"/>
        <color theme="1"/>
        <rFont val="Arial"/>
        <family val="2"/>
      </rPr>
      <t xml:space="preserve"> "Suministro e instalación de peliculas y persianas control solar"</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</si>
  <si>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</si>
  <si>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</si>
  <si>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</si>
  <si>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</si>
  <si>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</si>
  <si>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</si>
  <si>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rPr>
        <b/>
        <sz val="11"/>
        <color theme="1"/>
        <rFont val="Arial"/>
        <family val="2"/>
      </rPr>
      <t>Recurso por Asignar</t>
    </r>
    <r>
      <rPr>
        <sz val="11"/>
        <color theme="1"/>
        <rFont val="Arial"/>
        <family val="2"/>
      </rPr>
      <t xml:space="preserve"> "Compra, instalación y mantenimiento de aires acondicionados y ventiladores"</t>
    </r>
  </si>
  <si>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</si>
  <si>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</si>
  <si>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</si>
  <si>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</si>
  <si>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</si>
  <si>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</si>
  <si>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rPr>
        <b/>
        <sz val="11"/>
        <color theme="1"/>
        <rFont val="Arial"/>
        <family val="2"/>
      </rPr>
      <t>Recurso por asignar</t>
    </r>
    <r>
      <rPr>
        <sz val="11"/>
        <color theme="1"/>
        <rFont val="Arial"/>
        <family val="2"/>
      </rPr>
      <t xml:space="preserve"> "Contratación Seguros" </t>
    </r>
  </si>
  <si>
    <r>
      <t xml:space="preserve">Contratación Seguros de la Entidad Poliza todo daño materiales -grupos territoriales- </t>
    </r>
    <r>
      <rPr>
        <b/>
        <sz val="11"/>
        <color theme="1"/>
        <rFont val="Arial"/>
        <family val="2"/>
      </rPr>
      <t>Contrato 1139 de 2020</t>
    </r>
  </si>
  <si>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</si>
  <si>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</si>
  <si>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40161502
48101716</t>
  </si>
  <si>
    <r>
      <t xml:space="preserve">Adquisición de kits de filtros para dispensadores de agua de propiedad de la Agencia para la Reincorporación y la Normalización, de conformidad con el Anexo No. 1. Especificaciones Técnicas Mínimas </t>
    </r>
    <r>
      <rPr>
        <b/>
        <sz val="11"/>
        <color theme="1"/>
        <rFont val="Arial"/>
        <family val="2"/>
      </rPr>
      <t>Contrato N° 1648 de 2020</t>
    </r>
  </si>
  <si>
    <t>A-02-02-01-003-006</t>
  </si>
  <si>
    <r>
      <rPr>
        <b/>
        <sz val="11"/>
        <color theme="1"/>
        <rFont val="Arial"/>
        <family val="2"/>
      </rPr>
      <t>Recurso por Asigna</t>
    </r>
    <r>
      <rPr>
        <sz val="11"/>
        <color theme="1"/>
        <rFont val="Arial"/>
        <family val="2"/>
      </rPr>
      <t>r "Adquisición de dispensadores de Agua - Adquisición de filtros de agua"</t>
    </r>
  </si>
  <si>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</si>
  <si>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</si>
  <si>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</si>
  <si>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</si>
  <si>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r>
      <rPr>
        <b/>
        <sz val="11"/>
        <color theme="1"/>
        <rFont val="Arial"/>
        <family val="2"/>
      </rPr>
      <t>Recurso por asignar</t>
    </r>
    <r>
      <rPr>
        <sz val="11"/>
        <color theme="1"/>
        <rFont val="Arial"/>
        <family val="2"/>
      </rPr>
      <t xml:space="preserve"> "Rampas portátiles"</t>
    </r>
  </si>
  <si>
    <t xml:space="preserve">76122304
76122203
76122404
76121903                   </t>
  </si>
  <si>
    <r>
      <t xml:space="preserve">Contratar los servicios de transporte, almacenamiento temporal, tratamiento y/o disposición final adecuada de residuos peligrosos y/o especiales, generados por la Agencia para la Reincorporación y Normalización a Nivel Nacional. </t>
    </r>
    <r>
      <rPr>
        <b/>
        <sz val="11"/>
        <color theme="1"/>
        <rFont val="Arial"/>
        <family val="2"/>
      </rPr>
      <t>Contrato N° 1650 de 2020 y Contrato N° 1651 de 2020</t>
    </r>
  </si>
  <si>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</si>
  <si>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</si>
  <si>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</si>
  <si>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</si>
  <si>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</si>
  <si>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</si>
  <si>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</si>
  <si>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</si>
  <si>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</si>
  <si>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</si>
  <si>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</si>
  <si>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</si>
  <si>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</si>
  <si>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r>
      <t xml:space="preserve">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 </t>
    </r>
    <r>
      <rPr>
        <b/>
        <sz val="11"/>
        <color theme="1"/>
        <rFont val="Arial"/>
        <family val="2"/>
      </rPr>
      <t>Contrato N° 1649 de 2020</t>
    </r>
  </si>
  <si>
    <t>9</t>
  </si>
  <si>
    <t>Central de medios y monitoreo de medios</t>
  </si>
  <si>
    <r>
      <rPr>
        <b/>
        <sz val="11"/>
        <color theme="1"/>
        <rFont val="Arial"/>
        <family val="2"/>
      </rPr>
      <t>Recurso por asignar</t>
    </r>
    <r>
      <rPr>
        <sz val="11"/>
        <color theme="1"/>
        <rFont val="Arial"/>
        <family val="2"/>
      </rPr>
      <t xml:space="preserve"> "Adquisición de servicios de agencia de comunicaciones"</t>
    </r>
  </si>
  <si>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</si>
  <si>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</si>
  <si>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r>
      <rPr>
        <b/>
        <sz val="11"/>
        <color theme="1"/>
        <rFont val="Arial"/>
        <family val="2"/>
      </rPr>
      <t>Recurso por asignar</t>
    </r>
    <r>
      <rPr>
        <sz val="11"/>
        <color theme="1"/>
        <rFont val="Arial"/>
        <family val="2"/>
      </rPr>
      <t xml:space="preserve">  "Seguimiento a los contenidos publicados en medios de comunicación"</t>
    </r>
  </si>
  <si>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</si>
  <si>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</si>
  <si>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</si>
  <si>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</si>
  <si>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</si>
  <si>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</si>
  <si>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</si>
  <si>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</si>
  <si>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r>
      <rPr>
        <b/>
        <sz val="11"/>
        <color theme="1"/>
        <rFont val="Arial"/>
        <family val="2"/>
      </rPr>
      <t>Recurso por asignar</t>
    </r>
    <r>
      <rPr>
        <sz val="11"/>
        <color theme="1"/>
        <rFont val="Arial"/>
        <family val="2"/>
      </rPr>
      <t xml:space="preserve"> "Operador logístico misional"</t>
    </r>
  </si>
  <si>
    <t>Apoyo logístico misional  -Primera Jornada de Díalogos Jurídicos " Régimenes Transicionales de Justicia y el contexto de la Reincorporación"-</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</si>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</sst>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 #,##0_-;\-&quot;$&quot;\ * #,##0_-;_-&quot;$&quot;\ * &quot;-&quot;_-;_-@_-"/>
    <numFmt numFmtId="165" formatCode="_-* #,##0_-;\-* #,##0_-;_-* &quot;-&quot;_-;_-@_-"/>
    <numFmt numFmtId="166" formatCode="&quot;$&quot;\ #,##0"/>
    <numFmt numFmtId="167" formatCode="&quot;$&quot;\ #,##0;[Red]\-&quot;$&quot;\ #,##0"/>
    <numFmt numFmtId="168" formatCode="d/mm/yyyy"/>
    <numFmt numFmtId="169" formatCode="[$$-240A]\ #,##0.00"/>
    <numFmt numFmtId="170" formatCode="mmm\-\ yyyy;@"/>
    <numFmt numFmtId="171" formatCode="_-&quot;$&quot;\ * #,##0.00_-;\-&quot;$&quot;\ * #,##0.00_-;_-&quot;$&quot;\ * &quot;-&quot;??_-;_-@_-"/>
    <numFmt numFmtId="172" formatCode="0.0"/>
    <numFmt numFmtId="173" formatCode="[$-F800]dddd\,\ mmmm\ dd\,\ yyyy"/>
  </numFmts>
  <fonts count="23"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u/>
      <sz val="11"/>
      <color rgb="FFFF0000"/>
      <name val="Arial"/>
      <family val="2"/>
    </font>
    <font>
      <b/>
      <sz val="10"/>
      <color theme="1"/>
      <name val="Arial"/>
      <family val="2"/>
    </font>
    <font>
      <sz val="6"/>
      <color rgb="FF737376"/>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98">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8" borderId="4"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0" fontId="9" fillId="9" borderId="1" xfId="10" applyFont="1" applyFill="1" applyBorder="1" applyAlignment="1">
      <alignment vertical="center" wrapText="1"/>
    </xf>
    <xf numFmtId="14" fontId="10" fillId="9" borderId="1" xfId="10" applyNumberFormat="1" applyFont="1" applyFill="1" applyBorder="1" applyAlignment="1">
      <alignment horizontal="center" vertical="center" wrapText="1"/>
    </xf>
    <xf numFmtId="17" fontId="9" fillId="9" borderId="1" xfId="10" applyNumberFormat="1" applyFont="1" applyFill="1" applyBorder="1" applyAlignment="1">
      <alignment horizontal="center" vertical="center" wrapText="1"/>
    </xf>
    <xf numFmtId="3" fontId="11" fillId="8" borderId="1" xfId="8" applyNumberFormat="1" applyFont="1" applyFill="1" applyBorder="1" applyAlignment="1" applyProtection="1">
      <alignment horizontal="center" vertical="center" wrapText="1"/>
      <protection locked="0"/>
    </xf>
    <xf numFmtId="166" fontId="9" fillId="9" borderId="1" xfId="1" applyNumberFormat="1" applyFont="1" applyFill="1" applyBorder="1" applyAlignment="1">
      <alignment horizontal="center" vertical="center" wrapText="1"/>
    </xf>
    <xf numFmtId="0" fontId="9" fillId="9" borderId="1" xfId="10" applyFont="1" applyFill="1" applyBorder="1" applyAlignment="1">
      <alignment horizontal="center" vertical="center" wrapText="1"/>
    </xf>
    <xf numFmtId="0" fontId="9" fillId="8" borderId="1" xfId="0" applyFont="1" applyFill="1" applyBorder="1" applyAlignment="1">
      <alignment horizontal="justify" vertical="center" wrapText="1"/>
    </xf>
    <xf numFmtId="164" fontId="9" fillId="8" borderId="1" xfId="3" applyFont="1" applyFill="1" applyBorder="1" applyAlignment="1" applyProtection="1">
      <alignment horizontal="center" vertical="center" wrapText="1"/>
      <protection locked="0"/>
    </xf>
    <xf numFmtId="164" fontId="9" fillId="9" borderId="1" xfId="3" applyFont="1" applyFill="1" applyBorder="1" applyAlignment="1">
      <alignment horizontal="center" vertical="center" wrapText="1"/>
    </xf>
    <xf numFmtId="167" fontId="9" fillId="9" borderId="1" xfId="3"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wrapText="1"/>
      <protection locked="0"/>
    </xf>
    <xf numFmtId="1" fontId="9" fillId="8" borderId="1" xfId="8" applyNumberFormat="1" applyFont="1" applyFill="1" applyBorder="1" applyAlignment="1" applyProtection="1">
      <alignment horizontal="center" vertical="center" wrapText="1"/>
      <protection locked="0"/>
    </xf>
    <xf numFmtId="49" fontId="13" fillId="8" borderId="1" xfId="6" applyNumberFormat="1" applyFont="1" applyFill="1" applyBorder="1" applyAlignment="1" applyProtection="1">
      <alignment horizontal="left" vertical="center" wrapText="1"/>
    </xf>
    <xf numFmtId="49" fontId="9" fillId="8" borderId="1" xfId="8" applyFont="1" applyFill="1" applyBorder="1" applyAlignment="1" applyProtection="1">
      <alignment horizontal="center" vertical="center" wrapText="1"/>
    </xf>
    <xf numFmtId="49" fontId="9" fillId="3" borderId="1" xfId="8" applyFont="1" applyFill="1" applyBorder="1" applyAlignment="1" applyProtection="1">
      <alignment horizontal="center" vertical="center" wrapText="1"/>
      <protection locked="0"/>
    </xf>
    <xf numFmtId="49" fontId="9" fillId="10" borderId="4" xfId="8" applyFont="1" applyFill="1" applyBorder="1" applyAlignment="1" applyProtection="1">
      <alignment horizontal="center" vertical="center" wrapText="1"/>
      <protection locked="0"/>
    </xf>
    <xf numFmtId="0" fontId="9" fillId="10" borderId="1" xfId="10" applyFont="1" applyFill="1" applyBorder="1" applyAlignment="1">
      <alignment horizontal="center" vertical="center" wrapText="1"/>
    </xf>
    <xf numFmtId="0" fontId="9" fillId="11" borderId="1" xfId="10" applyFont="1" applyFill="1" applyBorder="1" applyAlignment="1">
      <alignment vertical="center" wrapText="1"/>
    </xf>
    <xf numFmtId="168" fontId="9" fillId="11" borderId="1" xfId="10" applyNumberFormat="1" applyFont="1" applyFill="1" applyBorder="1" applyAlignment="1">
      <alignment vertical="center" wrapText="1"/>
    </xf>
    <xf numFmtId="14" fontId="9" fillId="11" borderId="1" xfId="10" applyNumberFormat="1" applyFont="1" applyFill="1" applyBorder="1" applyAlignment="1">
      <alignment horizontal="center" vertical="center" wrapText="1"/>
    </xf>
    <xf numFmtId="17" fontId="9" fillId="11" borderId="1" xfId="10" applyNumberFormat="1" applyFont="1" applyFill="1" applyBorder="1" applyAlignment="1">
      <alignment horizontal="center" vertical="center" wrapText="1"/>
    </xf>
    <xf numFmtId="3" fontId="9" fillId="10" borderId="1" xfId="8"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lignment horizontal="center" vertical="center" wrapText="1"/>
    </xf>
    <xf numFmtId="49" fontId="9" fillId="10" borderId="1" xfId="8" applyFont="1" applyFill="1" applyBorder="1" applyAlignment="1" applyProtection="1">
      <alignment horizontal="center" vertical="center" wrapText="1"/>
      <protection locked="0"/>
    </xf>
    <xf numFmtId="0" fontId="9" fillId="11" borderId="1" xfId="10" applyFont="1" applyFill="1" applyBorder="1" applyAlignment="1">
      <alignment horizontal="center" vertical="center" wrapText="1"/>
    </xf>
    <xf numFmtId="164" fontId="9" fillId="10" borderId="1" xfId="3" applyFont="1" applyFill="1" applyBorder="1" applyAlignment="1" applyProtection="1">
      <alignment horizontal="center" vertical="center" wrapText="1"/>
      <protection locked="0"/>
    </xf>
    <xf numFmtId="164" fontId="9" fillId="10" borderId="1" xfId="3" applyNumberFormat="1" applyFont="1" applyFill="1" applyBorder="1" applyAlignment="1" applyProtection="1">
      <alignment horizontal="center" vertical="center" wrapText="1"/>
      <protection locked="0"/>
    </xf>
    <xf numFmtId="1"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wrapText="1"/>
    </xf>
    <xf numFmtId="1"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vertical="center" wrapText="1"/>
    </xf>
    <xf numFmtId="3" fontId="9" fillId="8" borderId="1" xfId="8" applyNumberFormat="1" applyFont="1" applyFill="1" applyBorder="1" applyAlignment="1" applyProtection="1">
      <alignment horizontal="center" vertical="center" wrapText="1"/>
      <protection locked="0"/>
    </xf>
    <xf numFmtId="49" fontId="9" fillId="3" borderId="1" xfId="8" applyFont="1" applyFill="1" applyBorder="1" applyAlignment="1" applyProtection="1">
      <alignment horizontal="center" vertical="center" wrapText="1"/>
    </xf>
    <xf numFmtId="0" fontId="9" fillId="9" borderId="1" xfId="10" applyFont="1" applyFill="1" applyBorder="1" applyAlignment="1">
      <alignment horizontal="justify" vertical="center" wrapText="1"/>
    </xf>
    <xf numFmtId="0" fontId="9" fillId="8" borderId="1" xfId="8" applyNumberFormat="1" applyFont="1" applyFill="1" applyBorder="1" applyAlignment="1" applyProtection="1">
      <alignment horizontal="center" vertical="center" wrapText="1"/>
      <protection locked="0"/>
    </xf>
    <xf numFmtId="0" fontId="9" fillId="8" borderId="1" xfId="0" applyNumberFormat="1" applyFont="1" applyFill="1" applyBorder="1" applyAlignment="1">
      <alignment horizontal="center" vertical="center" wrapText="1" readingOrder="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12" borderId="1" xfId="10" applyFont="1" applyFill="1" applyBorder="1" applyAlignment="1">
      <alignment vertical="center" wrapText="1"/>
    </xf>
    <xf numFmtId="14" fontId="10" fillId="12"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9" fillId="12" borderId="1" xfId="10"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49" fontId="13"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readingOrder="1"/>
    </xf>
    <xf numFmtId="0" fontId="11" fillId="8" borderId="1" xfId="8" applyNumberFormat="1" applyFont="1" applyFill="1" applyBorder="1" applyAlignment="1" applyProtection="1">
      <alignment horizontal="center" vertical="center" wrapText="1"/>
      <protection locked="0"/>
    </xf>
    <xf numFmtId="164" fontId="9" fillId="8" borderId="1" xfId="3" applyNumberFormat="1" applyFont="1" applyFill="1" applyBorder="1" applyAlignment="1" applyProtection="1">
      <alignment horizontal="center" vertical="center" wrapText="1"/>
      <protection locked="0"/>
    </xf>
    <xf numFmtId="14" fontId="9" fillId="12" borderId="1" xfId="1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readingOrder="1"/>
    </xf>
    <xf numFmtId="0" fontId="11" fillId="3" borderId="1" xfId="8"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7" fontId="9" fillId="12" borderId="1" xfId="10" applyNumberFormat="1" applyFont="1" applyFill="1" applyBorder="1" applyAlignment="1">
      <alignment horizontal="center" vertical="center" wrapText="1"/>
    </xf>
    <xf numFmtId="0" fontId="9" fillId="12" borderId="1" xfId="10" applyFont="1" applyFill="1" applyBorder="1" applyAlignment="1">
      <alignment horizontal="justify" vertical="center" wrapText="1"/>
    </xf>
    <xf numFmtId="49" fontId="11" fillId="8" borderId="1" xfId="8"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14" fontId="10"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wrapText="1"/>
      <protection locked="0"/>
    </xf>
    <xf numFmtId="0" fontId="9" fillId="11" borderId="1" xfId="10" applyFont="1" applyFill="1" applyBorder="1" applyAlignment="1">
      <alignment horizontal="justify" vertical="center" wrapText="1"/>
    </xf>
    <xf numFmtId="14" fontId="9" fillId="11" borderId="1" xfId="10" applyNumberFormat="1" applyFont="1" applyFill="1" applyBorder="1" applyAlignment="1">
      <alignment vertical="center" wrapText="1"/>
    </xf>
    <xf numFmtId="49" fontId="13" fillId="10" borderId="1" xfId="6" applyNumberFormat="1" applyFont="1" applyFill="1" applyBorder="1" applyAlignment="1" applyProtection="1">
      <alignment horizontal="left" vertical="center"/>
    </xf>
    <xf numFmtId="49" fontId="13" fillId="8" borderId="1" xfId="6" applyNumberFormat="1" applyFont="1" applyFill="1" applyBorder="1" applyAlignment="1" applyProtection="1">
      <alignment horizontal="left" vertical="center"/>
    </xf>
    <xf numFmtId="0" fontId="9" fillId="8" borderId="1" xfId="10" applyFont="1" applyFill="1" applyBorder="1" applyAlignment="1">
      <alignment vertical="center" wrapText="1"/>
    </xf>
    <xf numFmtId="166" fontId="9" fillId="9" borderId="1" xfId="1"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pplyProtection="1">
      <alignment horizontal="center" vertical="center" wrapText="1"/>
      <protection locked="0"/>
    </xf>
    <xf numFmtId="166" fontId="9" fillId="8" borderId="1" xfId="8" applyNumberFormat="1" applyFont="1" applyFill="1" applyBorder="1" applyAlignment="1" applyProtection="1">
      <alignment horizontal="center" vertical="center" wrapText="1"/>
      <protection locked="0"/>
    </xf>
    <xf numFmtId="0" fontId="9" fillId="9" borderId="1" xfId="10" applyNumberFormat="1" applyFont="1" applyFill="1" applyBorder="1" applyAlignment="1">
      <alignment vertical="center" wrapText="1"/>
    </xf>
    <xf numFmtId="164" fontId="11" fillId="8" borderId="1" xfId="3" applyFont="1" applyFill="1" applyBorder="1" applyAlignment="1" applyProtection="1">
      <alignment horizontal="center" vertical="center" wrapText="1"/>
      <protection locked="0"/>
    </xf>
    <xf numFmtId="0" fontId="9" fillId="12" borderId="1" xfId="10" applyNumberFormat="1" applyFont="1" applyFill="1" applyBorder="1" applyAlignment="1">
      <alignment vertical="center" wrapText="1"/>
    </xf>
    <xf numFmtId="14" fontId="9" fillId="12"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49" fontId="13" fillId="3" borderId="1" xfId="6" applyNumberFormat="1" applyFont="1" applyFill="1" applyBorder="1" applyAlignment="1" applyProtection="1">
      <alignment horizontal="left" vertical="center"/>
    </xf>
    <xf numFmtId="168" fontId="9" fillId="9" borderId="1" xfId="10" applyNumberFormat="1" applyFont="1" applyFill="1" applyBorder="1" applyAlignment="1">
      <alignment vertical="center" wrapText="1"/>
    </xf>
    <xf numFmtId="0" fontId="7" fillId="12" borderId="1" xfId="10" applyFont="1" applyFill="1" applyBorder="1" applyAlignment="1">
      <alignment vertical="center" wrapText="1"/>
    </xf>
    <xf numFmtId="17" fontId="11" fillId="12" borderId="1" xfId="10" applyNumberFormat="1" applyFont="1" applyFill="1" applyBorder="1" applyAlignment="1">
      <alignment horizontal="center" vertical="center" wrapText="1"/>
    </xf>
    <xf numFmtId="164" fontId="11" fillId="3" borderId="1" xfId="3" applyFont="1" applyFill="1" applyBorder="1" applyAlignment="1" applyProtection="1">
      <alignment horizontal="center" vertical="center" wrapText="1"/>
      <protection locked="0"/>
    </xf>
    <xf numFmtId="0" fontId="9" fillId="9" borderId="1" xfId="10" applyFont="1" applyFill="1" applyBorder="1" applyAlignment="1">
      <alignment horizontal="center" vertical="center"/>
    </xf>
    <xf numFmtId="166" fontId="7" fillId="8" borderId="1" xfId="8"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169" fontId="9" fillId="3" borderId="1" xfId="8" applyNumberFormat="1" applyFont="1" applyFill="1" applyBorder="1" applyAlignment="1" applyProtection="1">
      <alignment horizontal="center" vertical="center" wrapText="1"/>
      <protection locked="0"/>
    </xf>
    <xf numFmtId="49" fontId="9" fillId="8" borderId="1" xfId="8"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 vertical="center"/>
      <protection locked="0"/>
    </xf>
    <xf numFmtId="166" fontId="9" fillId="8" borderId="1" xfId="8" applyNumberFormat="1" applyFont="1" applyFill="1" applyBorder="1" applyAlignment="1">
      <alignment horizontal="center" vertical="center" wrapText="1"/>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9" fillId="11" borderId="1" xfId="10" applyFont="1" applyFill="1" applyBorder="1" applyAlignment="1">
      <alignment horizontal="center" vertical="center"/>
    </xf>
    <xf numFmtId="0" fontId="9" fillId="10" borderId="1" xfId="0" applyFont="1" applyFill="1" applyBorder="1" applyAlignment="1">
      <alignment horizontal="center" vertical="center" wrapText="1"/>
    </xf>
    <xf numFmtId="170" fontId="9"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protection locked="0"/>
    </xf>
    <xf numFmtId="166" fontId="7" fillId="10" borderId="1" xfId="8" applyNumberFormat="1" applyFont="1" applyFill="1" applyBorder="1" applyAlignment="1" applyProtection="1">
      <alignment horizontal="center" vertical="center" wrapText="1"/>
      <protection locked="0"/>
    </xf>
    <xf numFmtId="49" fontId="9" fillId="10" borderId="1" xfId="8" applyNumberFormat="1" applyFont="1" applyFill="1" applyBorder="1" applyAlignment="1">
      <alignment horizontal="center" vertical="center" wrapText="1"/>
    </xf>
    <xf numFmtId="0" fontId="9" fillId="10" borderId="1" xfId="0" applyNumberFormat="1" applyFont="1" applyFill="1" applyBorder="1" applyAlignment="1">
      <alignment horizontal="center" vertical="center" wrapText="1" readingOrder="1"/>
    </xf>
    <xf numFmtId="166" fontId="9" fillId="10" borderId="1" xfId="8" applyNumberFormat="1" applyFont="1" applyFill="1" applyBorder="1" applyAlignment="1">
      <alignment horizontal="center" vertical="center" wrapText="1"/>
    </xf>
    <xf numFmtId="0" fontId="0" fillId="0" borderId="0" xfId="0" applyFill="1" applyAlignment="1">
      <alignment vertical="center"/>
    </xf>
    <xf numFmtId="170" fontId="9" fillId="8" borderId="1" xfId="10" applyNumberFormat="1" applyFont="1" applyFill="1" applyBorder="1" applyAlignment="1">
      <alignment horizontal="center" vertical="center" wrapText="1"/>
    </xf>
    <xf numFmtId="0" fontId="9" fillId="3" borderId="1" xfId="10" applyFont="1" applyFill="1" applyBorder="1" applyAlignment="1">
      <alignment vertical="center" wrapText="1"/>
    </xf>
    <xf numFmtId="170" fontId="9" fillId="3" borderId="1" xfId="10" applyNumberFormat="1" applyFont="1" applyFill="1" applyBorder="1" applyAlignment="1">
      <alignment horizontal="center" vertical="center" wrapText="1"/>
    </xf>
    <xf numFmtId="0" fontId="9" fillId="10" borderId="1" xfId="10" applyFont="1" applyFill="1" applyBorder="1" applyAlignment="1">
      <alignment vertical="center" wrapText="1"/>
    </xf>
    <xf numFmtId="170" fontId="9" fillId="10" borderId="1" xfId="10" applyNumberFormat="1" applyFont="1" applyFill="1" applyBorder="1" applyAlignment="1">
      <alignment horizontal="center" vertical="center" wrapText="1"/>
    </xf>
    <xf numFmtId="164" fontId="9" fillId="10" borderId="1" xfId="3" applyNumberFormat="1" applyFont="1" applyFill="1" applyBorder="1" applyAlignment="1">
      <alignment horizontal="center" vertical="center" wrapText="1"/>
    </xf>
    <xf numFmtId="166" fontId="9" fillId="10" borderId="1" xfId="8" applyNumberFormat="1" applyFont="1" applyFill="1" applyBorder="1" applyAlignment="1" applyProtection="1">
      <alignment horizontal="center" vertical="center" wrapText="1"/>
      <protection locked="0"/>
    </xf>
    <xf numFmtId="170" fontId="9" fillId="9" borderId="1" xfId="10" applyNumberFormat="1" applyFont="1" applyFill="1" applyBorder="1" applyAlignment="1">
      <alignment horizontal="center" vertical="center" wrapText="1"/>
    </xf>
    <xf numFmtId="14" fontId="9" fillId="8" borderId="1" xfId="10" applyNumberFormat="1" applyFont="1" applyFill="1" applyBorder="1" applyAlignment="1">
      <alignment vertical="center" wrapText="1"/>
    </xf>
    <xf numFmtId="164" fontId="7" fillId="8" borderId="1" xfId="3" applyFont="1" applyFill="1" applyBorder="1" applyAlignment="1" applyProtection="1">
      <alignment horizontal="center" vertical="center" wrapText="1"/>
      <protection locked="0"/>
    </xf>
    <xf numFmtId="166" fontId="9" fillId="8" borderId="1" xfId="3" applyNumberFormat="1"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70" fontId="9" fillId="12" borderId="1" xfId="10"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166" fontId="9" fillId="10" borderId="1" xfId="3" applyNumberFormat="1" applyFont="1" applyFill="1" applyBorder="1" applyAlignment="1" applyProtection="1">
      <alignment horizontal="center" vertical="center" wrapText="1"/>
      <protection locked="0"/>
    </xf>
    <xf numFmtId="14" fontId="14" fillId="12" borderId="1" xfId="1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8" borderId="1" xfId="0" applyFont="1" applyFill="1" applyBorder="1" applyAlignment="1">
      <alignment vertical="center" wrapText="1"/>
    </xf>
    <xf numFmtId="0" fontId="9" fillId="8" borderId="1" xfId="0" applyNumberFormat="1" applyFont="1" applyFill="1" applyBorder="1" applyAlignment="1">
      <alignment horizontal="left" vertical="center" wrapText="1" readingOrder="1"/>
    </xf>
    <xf numFmtId="164" fontId="9" fillId="8" borderId="1" xfId="3"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vertical="center"/>
    </xf>
    <xf numFmtId="165" fontId="9" fillId="8" borderId="1" xfId="0" applyNumberFormat="1" applyFont="1" applyFill="1" applyBorder="1" applyAlignment="1">
      <alignment vertical="center"/>
    </xf>
    <xf numFmtId="0" fontId="13" fillId="8" borderId="1" xfId="6" applyFont="1" applyFill="1" applyBorder="1" applyAlignment="1" applyProtection="1">
      <alignment vertical="center"/>
    </xf>
    <xf numFmtId="0" fontId="0" fillId="7" borderId="0" xfId="0" applyFill="1" applyBorder="1" applyAlignment="1">
      <alignment vertical="center"/>
    </xf>
    <xf numFmtId="1" fontId="9" fillId="8" borderId="1" xfId="0" applyNumberFormat="1" applyFont="1" applyFill="1" applyBorder="1" applyAlignment="1">
      <alignment horizontal="center" vertical="center" wrapText="1" readingOrder="1"/>
    </xf>
    <xf numFmtId="0" fontId="9" fillId="3" borderId="1" xfId="0" applyFont="1" applyFill="1" applyBorder="1" applyAlignment="1">
      <alignment vertical="center" wrapText="1"/>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3" fillId="3" borderId="1" xfId="6" applyFont="1" applyFill="1" applyBorder="1" applyAlignment="1" applyProtection="1">
      <alignment vertical="center"/>
    </xf>
    <xf numFmtId="0" fontId="9" fillId="8" borderId="1" xfId="0" applyFont="1" applyFill="1" applyBorder="1" applyAlignment="1">
      <alignment horizontal="center"/>
    </xf>
    <xf numFmtId="0" fontId="9" fillId="3" borderId="1" xfId="0" applyFont="1" applyFill="1" applyBorder="1" applyAlignment="1">
      <alignment horizontal="center"/>
    </xf>
    <xf numFmtId="0" fontId="9" fillId="10" borderId="1" xfId="0" applyFont="1" applyFill="1" applyBorder="1" applyAlignment="1">
      <alignment vertical="center" wrapText="1"/>
    </xf>
    <xf numFmtId="49" fontId="11" fillId="10" borderId="1" xfId="8" applyFont="1" applyFill="1" applyBorder="1" applyAlignment="1" applyProtection="1">
      <alignment horizontal="center" vertical="center" wrapText="1"/>
      <protection locked="0"/>
    </xf>
    <xf numFmtId="0" fontId="11" fillId="10" borderId="1" xfId="0" applyNumberFormat="1" applyFont="1" applyFill="1" applyBorder="1" applyAlignment="1">
      <alignment horizontal="center" vertical="center" wrapText="1" readingOrder="1"/>
    </xf>
    <xf numFmtId="166" fontId="11" fillId="11" borderId="1" xfId="1" applyNumberFormat="1" applyFont="1" applyFill="1" applyBorder="1" applyAlignment="1">
      <alignment horizontal="center" vertical="center" wrapText="1"/>
    </xf>
    <xf numFmtId="0" fontId="9" fillId="10" borderId="1" xfId="0" applyNumberFormat="1" applyFont="1" applyFill="1" applyBorder="1" applyAlignment="1">
      <alignment horizontal="left" vertical="center" wrapText="1" readingOrder="1"/>
    </xf>
    <xf numFmtId="164" fontId="9" fillId="10" borderId="1" xfId="3" applyFont="1" applyFill="1" applyBorder="1" applyAlignment="1">
      <alignment horizontal="center" vertical="center" wrapText="1"/>
    </xf>
    <xf numFmtId="0" fontId="9" fillId="10" borderId="1" xfId="0" applyFont="1" applyFill="1" applyBorder="1" applyAlignment="1">
      <alignment horizontal="center"/>
    </xf>
    <xf numFmtId="0" fontId="9" fillId="10" borderId="1" xfId="0" applyFont="1" applyFill="1" applyBorder="1" applyAlignment="1">
      <alignment vertical="center"/>
    </xf>
    <xf numFmtId="0" fontId="9" fillId="10" borderId="1" xfId="0" applyFont="1" applyFill="1" applyBorder="1" applyAlignment="1">
      <alignment horizontal="center" vertical="center"/>
    </xf>
    <xf numFmtId="0" fontId="13" fillId="10" borderId="1" xfId="6" applyFont="1" applyFill="1" applyBorder="1" applyAlignment="1" applyProtection="1">
      <alignment vertical="center"/>
    </xf>
    <xf numFmtId="171" fontId="9" fillId="3" borderId="1" xfId="2" applyFont="1" applyFill="1" applyBorder="1" applyAlignment="1">
      <alignment horizontal="center" vertical="center"/>
    </xf>
    <xf numFmtId="0" fontId="9" fillId="8" borderId="1" xfId="0" applyFont="1" applyFill="1" applyBorder="1" applyAlignment="1" applyProtection="1">
      <alignment horizontal="center" vertical="center"/>
      <protection locked="0"/>
    </xf>
    <xf numFmtId="171" fontId="9" fillId="8"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11" fillId="3" borderId="1" xfId="3" applyFont="1" applyFill="1" applyBorder="1" applyAlignment="1">
      <alignment horizontal="center" vertical="center" wrapText="1"/>
    </xf>
    <xf numFmtId="164" fontId="7" fillId="8" borderId="1" xfId="3" applyFont="1" applyFill="1" applyBorder="1" applyAlignment="1">
      <alignment horizontal="center" vertical="center" wrapText="1"/>
    </xf>
    <xf numFmtId="164" fontId="11" fillId="8" borderId="1" xfId="3" applyFont="1" applyFill="1" applyBorder="1" applyAlignment="1">
      <alignment horizontal="center" vertical="center" wrapText="1"/>
    </xf>
    <xf numFmtId="0" fontId="9" fillId="9" borderId="1" xfId="1" applyNumberFormat="1" applyFont="1" applyFill="1" applyBorder="1" applyAlignment="1">
      <alignment horizontal="center" vertical="center" wrapText="1"/>
    </xf>
    <xf numFmtId="49" fontId="13" fillId="8" borderId="1" xfId="6" applyNumberFormat="1" applyFont="1" applyFill="1" applyBorder="1" applyAlignment="1" applyProtection="1">
      <alignment horizontal="center" vertical="center"/>
    </xf>
    <xf numFmtId="0" fontId="9" fillId="12" borderId="1" xfId="1" applyNumberFormat="1" applyFont="1" applyFill="1" applyBorder="1" applyAlignment="1">
      <alignment horizontal="center" vertical="center" wrapText="1"/>
    </xf>
    <xf numFmtId="49" fontId="13" fillId="3" borderId="1" xfId="6" applyNumberFormat="1" applyFont="1" applyFill="1" applyBorder="1" applyAlignment="1" applyProtection="1">
      <alignment horizontal="center" vertical="center"/>
    </xf>
    <xf numFmtId="0" fontId="9" fillId="8" borderId="1" xfId="9" applyFont="1" applyFill="1" applyBorder="1" applyAlignment="1" applyProtection="1">
      <alignment horizontal="left" vertical="center" wrapText="1"/>
    </xf>
    <xf numFmtId="1" fontId="9" fillId="9" borderId="1" xfId="10" applyNumberFormat="1" applyFont="1" applyFill="1" applyBorder="1" applyAlignment="1">
      <alignment horizontal="center" vertical="center" wrapText="1"/>
    </xf>
    <xf numFmtId="0" fontId="9" fillId="8" borderId="1" xfId="5" applyFont="1" applyFill="1" applyBorder="1" applyAlignment="1">
      <alignment vertical="center"/>
    </xf>
    <xf numFmtId="17" fontId="9" fillId="11" borderId="1" xfId="10" applyNumberFormat="1" applyFont="1" applyFill="1" applyBorder="1" applyAlignment="1" applyProtection="1">
      <alignment horizontal="center" vertical="center" wrapText="1"/>
    </xf>
    <xf numFmtId="49" fontId="11" fillId="3" borderId="4" xfId="8" applyFont="1" applyFill="1" applyBorder="1" applyAlignment="1" applyProtection="1">
      <alignment horizontal="center" vertical="center" wrapText="1"/>
      <protection locked="0"/>
    </xf>
    <xf numFmtId="0" fontId="11" fillId="12" borderId="1" xfId="10" applyFont="1" applyFill="1" applyBorder="1" applyAlignment="1">
      <alignment vertical="center" wrapText="1"/>
    </xf>
    <xf numFmtId="49" fontId="11" fillId="3" borderId="1" xfId="8" applyFont="1" applyFill="1" applyBorder="1" applyAlignment="1" applyProtection="1">
      <alignment horizontal="center" vertical="center" wrapText="1"/>
      <protection locked="0"/>
    </xf>
    <xf numFmtId="1" fontId="11" fillId="3" borderId="1" xfId="8" applyNumberFormat="1" applyFont="1" applyFill="1" applyBorder="1" applyAlignment="1" applyProtection="1">
      <alignment horizontal="center" vertical="center" wrapText="1"/>
      <protection locked="0"/>
    </xf>
    <xf numFmtId="49" fontId="15" fillId="3" borderId="1" xfId="6" applyNumberFormat="1" applyFont="1" applyFill="1" applyBorder="1" applyAlignment="1" applyProtection="1">
      <alignment horizontal="left" vertical="center"/>
    </xf>
    <xf numFmtId="49" fontId="9" fillId="0" borderId="4" xfId="8" applyFont="1" applyFill="1" applyBorder="1" applyAlignment="1" applyProtection="1">
      <alignment horizontal="center" vertical="center" wrapText="1"/>
      <protection locked="0"/>
    </xf>
    <xf numFmtId="0" fontId="9" fillId="0" borderId="1" xfId="10" applyFont="1" applyFill="1" applyBorder="1" applyAlignment="1">
      <alignment horizontal="center" vertical="center" wrapText="1"/>
    </xf>
    <xf numFmtId="0" fontId="9" fillId="0" borderId="1" xfId="10" applyFont="1" applyFill="1" applyBorder="1" applyAlignment="1">
      <alignment vertical="center" wrapText="1"/>
    </xf>
    <xf numFmtId="14" fontId="9" fillId="0" borderId="1" xfId="10" applyNumberFormat="1" applyFont="1" applyFill="1" applyBorder="1" applyAlignment="1">
      <alignment vertical="center" wrapText="1"/>
    </xf>
    <xf numFmtId="14" fontId="10" fillId="0" borderId="1" xfId="10" applyNumberFormat="1" applyFont="1" applyFill="1" applyBorder="1" applyAlignment="1">
      <alignment horizontal="center" vertical="center" wrapText="1"/>
    </xf>
    <xf numFmtId="17" fontId="9" fillId="0" borderId="1" xfId="10" applyNumberFormat="1" applyFont="1" applyFill="1" applyBorder="1" applyAlignment="1">
      <alignment horizontal="center" vertical="center" wrapText="1"/>
    </xf>
    <xf numFmtId="0" fontId="9" fillId="0" borderId="1" xfId="8" applyNumberFormat="1" applyFont="1" applyFill="1" applyBorder="1" applyAlignment="1" applyProtection="1">
      <alignment horizontal="center" vertical="center" wrapText="1"/>
      <protection locked="0"/>
    </xf>
    <xf numFmtId="166" fontId="9" fillId="0" borderId="1" xfId="1" applyNumberFormat="1" applyFont="1" applyFill="1" applyBorder="1" applyAlignment="1">
      <alignment horizontal="center" vertical="center" wrapText="1"/>
    </xf>
    <xf numFmtId="166" fontId="9" fillId="0" borderId="1" xfId="8" applyNumberFormat="1" applyFont="1" applyFill="1" applyBorder="1" applyAlignment="1" applyProtection="1">
      <alignment horizontal="center" vertical="center" wrapText="1"/>
      <protection locked="0"/>
    </xf>
    <xf numFmtId="164" fontId="9" fillId="0" borderId="1" xfId="3" applyFont="1" applyFill="1" applyBorder="1" applyAlignment="1" applyProtection="1">
      <alignment horizontal="center" vertical="center" wrapText="1"/>
      <protection locked="0"/>
    </xf>
    <xf numFmtId="49" fontId="9" fillId="0" borderId="1" xfId="8" applyFont="1" applyFill="1" applyBorder="1" applyAlignment="1" applyProtection="1">
      <alignment horizontal="center" vertical="center" wrapText="1"/>
      <protection locked="0"/>
    </xf>
    <xf numFmtId="1" fontId="9" fillId="0" borderId="1" xfId="8" applyNumberFormat="1" applyFont="1" applyFill="1" applyBorder="1" applyAlignment="1" applyProtection="1">
      <alignment horizontal="center" vertical="center" wrapText="1"/>
      <protection locked="0"/>
    </xf>
    <xf numFmtId="49" fontId="13" fillId="0" borderId="1" xfId="6" applyNumberFormat="1" applyFont="1" applyFill="1" applyBorder="1" applyAlignment="1" applyProtection="1">
      <alignment horizontal="left" vertical="center"/>
    </xf>
    <xf numFmtId="0" fontId="9" fillId="8" borderId="1" xfId="0" applyNumberFormat="1" applyFont="1" applyFill="1" applyBorder="1" applyAlignment="1">
      <alignment horizontal="center" vertical="center"/>
    </xf>
    <xf numFmtId="49" fontId="9" fillId="8" borderId="1" xfId="8" applyFont="1" applyFill="1" applyBorder="1" applyAlignment="1" applyProtection="1">
      <alignment horizontal="left" vertical="center" wrapText="1"/>
      <protection locked="0"/>
    </xf>
    <xf numFmtId="0" fontId="9" fillId="3" borderId="1" xfId="0" applyNumberFormat="1" applyFont="1" applyFill="1" applyBorder="1" applyAlignment="1">
      <alignment horizontal="center" vertical="center"/>
    </xf>
    <xf numFmtId="166" fontId="9" fillId="12" borderId="1" xfId="1" applyNumberFormat="1" applyFont="1" applyFill="1" applyBorder="1" applyAlignment="1" applyProtection="1">
      <alignment horizontal="center" vertical="center" wrapText="1"/>
      <protection locked="0"/>
    </xf>
    <xf numFmtId="0" fontId="9" fillId="9" borderId="1" xfId="11" applyFont="1" applyFill="1" applyBorder="1" applyAlignment="1">
      <alignment horizontal="center" vertical="center" wrapText="1"/>
    </xf>
    <xf numFmtId="0" fontId="9" fillId="12" borderId="1" xfId="11" applyFont="1" applyFill="1" applyBorder="1" applyAlignment="1">
      <alignment horizontal="center" vertical="center" wrapText="1"/>
    </xf>
    <xf numFmtId="17" fontId="9" fillId="9" borderId="1" xfId="10" applyNumberFormat="1" applyFont="1" applyFill="1" applyBorder="1" applyAlignment="1" applyProtection="1">
      <alignment horizontal="center" vertical="center" wrapText="1"/>
    </xf>
    <xf numFmtId="17" fontId="9" fillId="12" borderId="1" xfId="10" applyNumberFormat="1" applyFont="1" applyFill="1" applyBorder="1" applyAlignment="1" applyProtection="1">
      <alignment horizontal="center" vertical="center" wrapText="1"/>
    </xf>
    <xf numFmtId="0" fontId="9" fillId="10" borderId="1" xfId="0" applyNumberFormat="1" applyFont="1" applyFill="1" applyBorder="1" applyAlignment="1">
      <alignment horizontal="center" vertical="center"/>
    </xf>
    <xf numFmtId="0" fontId="9" fillId="11" borderId="1" xfId="11" applyFont="1" applyFill="1" applyBorder="1" applyAlignment="1">
      <alignment horizontal="center" vertical="center" wrapText="1"/>
    </xf>
    <xf numFmtId="164" fontId="11" fillId="10" borderId="1" xfId="3" applyFont="1" applyFill="1" applyBorder="1" applyAlignment="1" applyProtection="1">
      <alignment horizontal="center" vertical="center" wrapText="1"/>
      <protection locked="0"/>
    </xf>
    <xf numFmtId="0" fontId="9" fillId="11" borderId="1" xfId="11" applyFont="1" applyFill="1" applyBorder="1" applyAlignment="1">
      <alignment vertical="center" wrapText="1"/>
    </xf>
    <xf numFmtId="14" fontId="9" fillId="11" borderId="1" xfId="11" applyNumberFormat="1" applyFont="1" applyFill="1" applyBorder="1" applyAlignment="1">
      <alignment vertical="center" wrapText="1"/>
    </xf>
    <xf numFmtId="14" fontId="14" fillId="11" borderId="1" xfId="10" applyNumberFormat="1" applyFont="1" applyFill="1" applyBorder="1" applyAlignment="1">
      <alignment horizontal="center" vertical="center" wrapText="1"/>
    </xf>
    <xf numFmtId="0" fontId="9" fillId="11" borderId="1" xfId="11" applyFont="1" applyFill="1" applyBorder="1" applyAlignment="1">
      <alignment horizontal="left" vertical="center" wrapText="1"/>
    </xf>
    <xf numFmtId="0" fontId="9" fillId="10" borderId="1" xfId="11" applyFont="1" applyFill="1" applyBorder="1" applyAlignment="1">
      <alignment horizontal="center" vertical="center" wrapText="1"/>
    </xf>
    <xf numFmtId="49" fontId="13" fillId="10" borderId="1" xfId="12" applyNumberFormat="1" applyFont="1" applyFill="1" applyBorder="1" applyAlignment="1" applyProtection="1">
      <alignment horizontal="left" vertical="center"/>
    </xf>
    <xf numFmtId="0" fontId="9" fillId="10" borderId="1" xfId="11" applyFont="1" applyFill="1" applyBorder="1" applyAlignment="1">
      <alignment horizontal="center" vertical="center"/>
    </xf>
    <xf numFmtId="49" fontId="3" fillId="0" borderId="1" xfId="8" applyFont="1" applyFill="1" applyBorder="1" applyAlignment="1" applyProtection="1">
      <alignment horizontal="center" vertical="center" wrapText="1"/>
      <protection locked="0"/>
    </xf>
    <xf numFmtId="0" fontId="3" fillId="0" borderId="1" xfId="10" applyFont="1" applyFill="1" applyBorder="1" applyAlignment="1">
      <alignment horizontal="center" vertical="center" wrapText="1"/>
    </xf>
    <xf numFmtId="0" fontId="0" fillId="0" borderId="1" xfId="10" applyFont="1" applyFill="1" applyBorder="1" applyAlignment="1">
      <alignment vertical="center" wrapText="1"/>
    </xf>
    <xf numFmtId="15" fontId="3" fillId="0" borderId="1" xfId="10" applyNumberFormat="1" applyFont="1" applyFill="1" applyBorder="1" applyAlignment="1">
      <alignment horizontal="left" vertical="center" wrapText="1"/>
    </xf>
    <xf numFmtId="17" fontId="3" fillId="0" borderId="1" xfId="10" applyNumberFormat="1" applyFont="1" applyFill="1" applyBorder="1" applyAlignment="1">
      <alignment horizontal="center" vertical="center" wrapText="1"/>
    </xf>
    <xf numFmtId="49" fontId="3" fillId="0" borderId="1" xfId="8" applyFont="1" applyFill="1" applyBorder="1" applyAlignment="1" applyProtection="1">
      <alignment horizontal="center" vertical="center"/>
      <protection locked="0"/>
    </xf>
    <xf numFmtId="166" fontId="3" fillId="0" borderId="1" xfId="1" applyNumberFormat="1" applyFont="1" applyFill="1" applyBorder="1" applyAlignment="1">
      <alignment horizontal="center" vertical="center" wrapText="1"/>
    </xf>
    <xf numFmtId="0" fontId="3" fillId="0" borderId="1" xfId="10" applyFont="1" applyFill="1" applyBorder="1" applyAlignment="1">
      <alignment vertical="center" wrapText="1"/>
    </xf>
    <xf numFmtId="0" fontId="3" fillId="12" borderId="1" xfId="10" applyFont="1" applyFill="1" applyBorder="1" applyAlignment="1">
      <alignment horizontal="center" vertical="center" wrapText="1"/>
    </xf>
    <xf numFmtId="166" fontId="3" fillId="0" borderId="1" xfId="8" applyNumberFormat="1" applyFont="1" applyFill="1" applyBorder="1" applyAlignment="1" applyProtection="1">
      <alignment horizontal="right" vertical="center" wrapText="1"/>
      <protection locked="0"/>
    </xf>
    <xf numFmtId="166" fontId="3" fillId="0" borderId="1" xfId="8" applyNumberFormat="1" applyFont="1" applyFill="1" applyBorder="1" applyAlignment="1" applyProtection="1">
      <alignment horizontal="center" vertical="center" wrapText="1"/>
      <protection locked="0"/>
    </xf>
    <xf numFmtId="49" fontId="13" fillId="3" borderId="1" xfId="12" applyNumberFormat="1" applyFont="1" applyFill="1" applyBorder="1" applyAlignment="1" applyProtection="1">
      <alignment horizontal="left" vertical="center"/>
    </xf>
    <xf numFmtId="0" fontId="9" fillId="9" borderId="1" xfId="11" applyFont="1" applyFill="1" applyBorder="1" applyAlignment="1">
      <alignment vertical="center" wrapText="1"/>
    </xf>
    <xf numFmtId="14" fontId="9" fillId="9" borderId="1" xfId="11" applyNumberFormat="1" applyFont="1" applyFill="1" applyBorder="1" applyAlignment="1">
      <alignment vertical="center" wrapText="1"/>
    </xf>
    <xf numFmtId="0" fontId="9" fillId="9" borderId="1" xfId="11" applyFont="1" applyFill="1" applyBorder="1" applyAlignment="1">
      <alignment horizontal="left" vertical="center" wrapText="1"/>
    </xf>
    <xf numFmtId="0" fontId="9" fillId="8" borderId="1" xfId="11" applyFont="1" applyFill="1" applyBorder="1" applyAlignment="1">
      <alignment horizontal="center" vertical="center"/>
    </xf>
    <xf numFmtId="49" fontId="13" fillId="8" borderId="1" xfId="12" applyNumberFormat="1" applyFont="1" applyFill="1" applyBorder="1" applyAlignment="1" applyProtection="1">
      <alignment horizontal="left" vertical="center"/>
    </xf>
    <xf numFmtId="0" fontId="9" fillId="12" borderId="1" xfId="11" applyFont="1" applyFill="1" applyBorder="1" applyAlignment="1">
      <alignment vertical="center" wrapText="1"/>
    </xf>
    <xf numFmtId="14" fontId="9" fillId="12" borderId="1" xfId="11" applyNumberFormat="1" applyFont="1" applyFill="1" applyBorder="1" applyAlignment="1">
      <alignment vertical="center" wrapText="1"/>
    </xf>
    <xf numFmtId="0" fontId="9" fillId="12"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12" borderId="1" xfId="11" applyNumberFormat="1" applyFont="1" applyFill="1" applyBorder="1" applyAlignment="1">
      <alignment horizontal="center" vertical="center" wrapText="1"/>
    </xf>
    <xf numFmtId="17" fontId="9" fillId="11"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10" borderId="1" xfId="11" applyFont="1" applyFill="1" applyBorder="1" applyAlignment="1">
      <alignment vertical="center" wrapText="1"/>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0" fontId="9" fillId="8" borderId="1" xfId="11" applyFont="1" applyFill="1" applyBorder="1" applyAlignment="1">
      <alignment vertical="center" wrapText="1"/>
    </xf>
    <xf numFmtId="17" fontId="9" fillId="9" borderId="1" xfId="11" applyNumberFormat="1" applyFont="1" applyFill="1" applyBorder="1" applyAlignment="1">
      <alignment horizontal="center" vertical="center" wrapText="1"/>
    </xf>
    <xf numFmtId="172" fontId="9" fillId="8" borderId="1" xfId="8" applyNumberFormat="1" applyFont="1" applyFill="1" applyBorder="1" applyAlignment="1" applyProtection="1">
      <alignment horizontal="center" vertical="center" wrapText="1"/>
      <protection locked="0"/>
    </xf>
    <xf numFmtId="164" fontId="9" fillId="11" borderId="1" xfId="3" applyFont="1" applyFill="1" applyBorder="1" applyAlignment="1">
      <alignment horizontal="center" vertical="center" wrapText="1"/>
    </xf>
    <xf numFmtId="17" fontId="9" fillId="8" borderId="1" xfId="11" applyNumberFormat="1" applyFont="1" applyFill="1" applyBorder="1" applyAlignment="1">
      <alignment horizontal="center" vertical="center" wrapText="1"/>
    </xf>
    <xf numFmtId="17" fontId="9" fillId="3" borderId="1" xfId="11" applyNumberFormat="1" applyFont="1" applyFill="1" applyBorder="1" applyAlignment="1">
      <alignment horizontal="center" vertical="center" wrapText="1"/>
    </xf>
    <xf numFmtId="166" fontId="9" fillId="9" borderId="1" xfId="13" applyNumberFormat="1" applyFont="1" applyFill="1" applyBorder="1" applyAlignment="1">
      <alignment horizontal="center" vertical="center" wrapText="1"/>
    </xf>
    <xf numFmtId="166" fontId="9" fillId="12" borderId="1" xfId="13" applyNumberFormat="1" applyFont="1" applyFill="1" applyBorder="1" applyAlignment="1">
      <alignment horizontal="center" vertical="center" wrapText="1"/>
    </xf>
    <xf numFmtId="0" fontId="9" fillId="8" borderId="1" xfId="11" applyFont="1" applyFill="1" applyBorder="1" applyAlignment="1">
      <alignment horizontal="center" vertical="center" wrapText="1"/>
    </xf>
    <xf numFmtId="164" fontId="9" fillId="8" borderId="1" xfId="3" applyFont="1" applyFill="1" applyBorder="1" applyAlignment="1">
      <alignment horizontal="center" vertical="center"/>
    </xf>
    <xf numFmtId="164" fontId="9" fillId="3" borderId="1" xfId="3" applyFont="1" applyFill="1" applyBorder="1" applyAlignment="1">
      <alignment horizontal="center" vertical="center"/>
    </xf>
    <xf numFmtId="167" fontId="9" fillId="8" borderId="1" xfId="3" applyNumberFormat="1" applyFont="1" applyFill="1" applyBorder="1" applyAlignment="1">
      <alignment horizontal="center" vertical="center" wrapText="1"/>
    </xf>
    <xf numFmtId="167" fontId="9" fillId="8" borderId="1" xfId="3" applyNumberFormat="1" applyFont="1" applyFill="1" applyBorder="1" applyAlignment="1" applyProtection="1">
      <alignment horizontal="center" vertical="center" wrapText="1"/>
      <protection locked="0"/>
    </xf>
    <xf numFmtId="167" fontId="9" fillId="3" borderId="1" xfId="3"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Continuous" vertical="center"/>
      <protection locked="0"/>
    </xf>
    <xf numFmtId="3" fontId="9" fillId="8" borderId="1" xfId="8" applyNumberFormat="1" applyFont="1" applyFill="1" applyBorder="1" applyAlignment="1" applyProtection="1">
      <alignment horizontal="right" vertical="center" wrapText="1"/>
      <protection locked="0"/>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3" fontId="17" fillId="0" borderId="0" xfId="0" applyNumberFormat="1" applyFont="1"/>
    <xf numFmtId="173" fontId="10" fillId="9" borderId="1" xfId="10"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protection locked="0"/>
    </xf>
    <xf numFmtId="49" fontId="9" fillId="3" borderId="1" xfId="8" applyFont="1" applyFill="1" applyBorder="1" applyAlignment="1" applyProtection="1">
      <alignment horizontal="center" vertical="center"/>
      <protection locked="0"/>
    </xf>
    <xf numFmtId="49" fontId="9" fillId="3" borderId="5" xfId="8" applyFont="1" applyFill="1" applyBorder="1" applyAlignment="1" applyProtection="1">
      <alignment horizontal="center" vertical="center" wrapText="1"/>
      <protection locked="0"/>
    </xf>
    <xf numFmtId="0" fontId="9" fillId="12" borderId="6" xfId="10" applyFont="1" applyFill="1" applyBorder="1" applyAlignment="1">
      <alignment horizontal="center" vertical="center" wrapText="1"/>
    </xf>
    <xf numFmtId="0" fontId="9" fillId="12" borderId="6" xfId="10" applyFont="1" applyFill="1" applyBorder="1" applyAlignment="1">
      <alignment vertical="center" wrapText="1"/>
    </xf>
    <xf numFmtId="14" fontId="10" fillId="12"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3" fillId="3"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8"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9" fillId="0" borderId="0" xfId="0" applyFont="1" applyBorder="1" applyAlignment="1">
      <alignment horizontal="center" wrapText="1" readingOrder="1"/>
    </xf>
    <xf numFmtId="0" fontId="20"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4">
    <cellStyle name="BodyStyle" xfId="8" xr:uid="{819C7BA0-A814-4817-B72D-90DA0E92EDA5}"/>
    <cellStyle name="Bueno" xfId="5" builtinId="26"/>
    <cellStyle name="HeaderStyle" xfId="9" xr:uid="{C7505C26-1AB1-402B-BB75-311A73DF3AAB}"/>
    <cellStyle name="Hipervínculo" xfId="6" builtinId="8"/>
    <cellStyle name="Hipervínculo 2" xfId="12" xr:uid="{DF2AE0DA-EA30-4778-84BC-C0F98A6E46EE}"/>
    <cellStyle name="MainTitle" xfId="7" xr:uid="{D2F25D77-8DCC-4C42-8438-BE31B17731F6}"/>
    <cellStyle name="Millares [0]" xfId="1" builtinId="6"/>
    <cellStyle name="Millares [0] 3" xfId="13" xr:uid="{105232B5-FDEA-4FB5-9A83-DB6F160AA65B}"/>
    <cellStyle name="Moneda" xfId="2" builtinId="4"/>
    <cellStyle name="Moneda [0]" xfId="3" builtinId="7"/>
    <cellStyle name="Normal" xfId="0" builtinId="0"/>
    <cellStyle name="Normal 2" xfId="10" xr:uid="{7E521BA3-7418-4CC4-A643-7FC79ED5A1D9}"/>
    <cellStyle name="Normal 2 2" xfId="11" xr:uid="{E61CA081-8C01-4152-B4A5-5B22F820395D}"/>
    <cellStyle name="Porcentaje" xfId="4" builtinId="5"/>
  </cellStyles>
  <dxfs count="32">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6F1A38-CB53-454B-A10B-91CC9752024B}" name="Tabla1" displayName="Tabla1" ref="A5:AA234" totalsRowShown="0" headerRowDxfId="31" dataDxfId="30" headerRowBorderDxfId="28" tableBorderDxfId="29" totalsRowBorderDxfId="27" headerRowCellStyle="BodyStyle" dataCellStyle="BodyStyle">
  <autoFilter ref="A5:AA234" xr:uid="{00000000-0009-0000-0100-000001000000}"/>
  <tableColumns count="27">
    <tableColumn id="1" xr3:uid="{BAF99BC5-5D0A-4085-AD22-816E00DD787E}" name="Dependencia Responsable (Selección la que corresponde)" dataDxfId="26" dataCellStyle="BodyStyle"/>
    <tableColumn id="2" xr3:uid="{551DFC1E-1853-454B-AF0B-DFF4747E9F9B}" name="Código UNSPSC" dataDxfId="25" dataCellStyle="Normal 2"/>
    <tableColumn id="3" xr3:uid="{42A5F120-1C95-41D4-BBA3-275D21650345}" name="Descripción (bien o servicio requerido a contratar)" dataDxfId="24" dataCellStyle="Normal 2"/>
    <tableColumn id="25" xr3:uid="{02F40F70-C6A2-4F17-9478-613EC7FFD78A}" name="Fecha Terminación en 2020 de los _x000a_Contratos Vf del 2018, 2019 " dataDxfId="23" dataCellStyle="Normal 2"/>
    <tableColumn id="4" xr3:uid="{3672E532-186C-43B6-BA74-C50C4CCFB7C6}" name="Fecha estimada de radicación en el GGC para iniciar Estudio de Mercado" dataDxfId="22" dataCellStyle="Normal 2"/>
    <tableColumn id="5" xr3:uid="{5B33997B-748F-4FEC-9808-8796578ED2B4}" name="Fecha (mes) estimada de inicio de proceso de selección (Publicación Proyecto Pliego)" dataDxfId="21" dataCellStyle="Normal 2"/>
    <tableColumn id="6" xr3:uid="{40AAA096-3148-4FFB-AAEB-7122AE9651F4}" name="Fecha (mes)  estimada de presentación de ofertas (Cierre del proceso)" dataDxfId="20" dataCellStyle="Normal 2"/>
    <tableColumn id="7" xr3:uid="{AFF1D421-3768-4050-BF2D-B9BD471B38D6}" name="Duración estimada del contrato (número de Meses o días)" dataDxfId="19"/>
    <tableColumn id="8" xr3:uid="{DF45C199-92D8-417A-9613-7A2815C647F0}" name="Duración estimada del contrato (intervalo: días, Meses, años)" dataDxfId="18" dataCellStyle="Millares [0]"/>
    <tableColumn id="9" xr3:uid="{401A2857-CDF0-40B2-BFC5-DBBA778E1AE6}" name="Modalidad de selección (seleccione)" dataDxfId="17" dataCellStyle="Normal 2"/>
    <tableColumn id="10" xr3:uid="{939DDB8C-BDE0-4196-890C-0A3F55064279}" name="Descripción de la Actividad (según clasificación del presupuesto)" dataDxfId="16" dataCellStyle="BodyStyle"/>
    <tableColumn id="11" xr3:uid="{90DAFE42-4BCD-4629-9193-AC7D252609C2}" name="Rubro presupuesto" dataDxfId="15" dataCellStyle="Normal 2"/>
    <tableColumn id="12" xr3:uid="{6CFE560E-C3FF-47DC-A018-C37E61CEDB77}" name="Valor estimado Asignado a Contratar _x000a_(Incluya el valor total de la Contratación si tiene Vigencia Futura. De lo contrario, este valor debe ser igual al de la siguiente columna)" dataDxfId="14" dataCellStyle="Moneda [0]">
      <calculatedColumnFormula>+N6+Q6+R6</calculatedColumnFormula>
    </tableColumn>
    <tableColumn id="13" xr3:uid="{82D22AAB-7243-4B6F-9FDE-DA5C97BF08B2}" name="Valor estimado en la vigencia actual" dataDxfId="13" dataCellStyle="Moneda [0]">
      <calculatedColumnFormula>+O6+P6</calculatedColumnFormula>
    </tableColumn>
    <tableColumn id="14" xr3:uid="{4321B875-02BE-4540-AE7D-87D2C8BAA7A6}" name="Fuente de los recursos (reintegración de la vigencia actual)" dataDxfId="12" dataCellStyle="Moneda [0]"/>
    <tableColumn id="15" xr3:uid="{D719FAA4-3BFE-4E8E-B489-4ADE9E2CDDEB}" name="Fuente de los recursos (reincorporación de la vigencia actual)" dataDxfId="11" dataCellStyle="Moneda [0]"/>
    <tableColumn id="27" xr3:uid="{2FFFE4D4-A32E-4408-AA26-9671D2FC7B2D}" name="Valor 2021" dataDxfId="10" dataCellStyle="Moneda [0]">
      <calculatedColumnFormula>5262916643</calculatedColumnFormula>
    </tableColumn>
    <tableColumn id="28" xr3:uid="{C953BA79-D0D4-49B1-B62A-08AEBD39ED60}" name="Valor 2022" dataDxfId="9" dataCellStyle="Moneda [0]"/>
    <tableColumn id="16" xr3:uid="{886003BD-8A61-46C5-926F-E9D4E442BB8D}" name="¿Se requieren vigencias futuras?" dataDxfId="8" dataCellStyle="BodyStyle"/>
    <tableColumn id="17" xr3:uid="{106803C4-C35E-4965-B5F4-DFB926116A6E}" name="Estado de solicitud de vigencias futuras" dataDxfId="7" dataCellStyle="BodyStyle"/>
    <tableColumn id="29" xr3:uid="{F6B1657D-165F-42F7-B97E-2F329A72923A}" name="Estado" dataDxfId="6" dataCellStyle="BodyStyle"/>
    <tableColumn id="18" xr3:uid="{B6AA7B06-05D4-4262-952F-425160C876D5}" name="Nombre del Responsable en la Dependencia" dataDxfId="5" dataCellStyle="BodyStyle"/>
    <tableColumn id="19" xr3:uid="{14CA81DB-7274-49D6-AD5C-713AB6DB2C9C}" name="Unidad de contratación (Grupo de Gestión Contractual)" dataDxfId="4" dataCellStyle="BodyStyle"/>
    <tableColumn id="20" xr3:uid="{8A65D4E3-3FCC-48BB-B0CF-74BD5CB3AFD4}" name="Ubicación" dataDxfId="3" dataCellStyle="BodyStyle"/>
    <tableColumn id="21" xr3:uid="{47B80F4A-2443-4961-BA94-3510ED75823D}" name="Nombre del responsable " dataDxfId="2" dataCellStyle="BodyStyle"/>
    <tableColumn id="22" xr3:uid="{59E99ECB-807B-483F-A3B8-944EE61B7539}" name="Teléfono del responsable " dataDxfId="1" dataCellStyle="BodyStyle"/>
    <tableColumn id="23" xr3:uid="{D6E5B259-B3E4-49EA-93B6-7E8B8DF5D9A7}"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117"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113" Type="http://schemas.openxmlformats.org/officeDocument/2006/relationships/hyperlink" Target="mailto:javiermosquera@reincorporacion.gov.co" TargetMode="External"/><Relationship Id="rId118" Type="http://schemas.openxmlformats.org/officeDocument/2006/relationships/printerSettings" Target="../printerSettings/printerSettings1.bin"/><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114" Type="http://schemas.openxmlformats.org/officeDocument/2006/relationships/hyperlink" Target="mailto:javiermosquera@reincorporacion.gov.co" TargetMode="External"/><Relationship Id="rId119" Type="http://schemas.openxmlformats.org/officeDocument/2006/relationships/vmlDrawing" Target="../drawings/vmlDrawing1.vml"/><Relationship Id="rId44"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120" Type="http://schemas.openxmlformats.org/officeDocument/2006/relationships/table" Target="../tables/table1.xm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hyperlink" Target="mailto:javiermosquera@reincorporacion.gov.co" TargetMode="External"/><Relationship Id="rId115"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121" Type="http://schemas.openxmlformats.org/officeDocument/2006/relationships/comments" Target="../comments1.xm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116"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8D75-6F7B-435B-B2FE-9F4033ED930E}">
  <sheetPr>
    <tabColor rgb="FFFFFF00"/>
  </sheetPr>
  <dimension ref="A1:AA245"/>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5" defaultRowHeight="12.5" x14ac:dyDescent="0.25"/>
  <cols>
    <col min="1" max="1" width="22.453125" style="1" customWidth="1"/>
    <col min="2" max="2" width="23.54296875" style="295" customWidth="1"/>
    <col min="3" max="3" width="46.453125" style="296" customWidth="1"/>
    <col min="4" max="4" width="16.26953125" style="295" customWidth="1"/>
    <col min="5" max="5" width="31.81640625" style="295" customWidth="1"/>
    <col min="6" max="9" width="16.26953125" style="295" customWidth="1"/>
    <col min="10" max="10" width="16.453125" style="295" customWidth="1"/>
    <col min="11" max="11" width="39.7265625" style="296" customWidth="1"/>
    <col min="12" max="12" width="18.453125" style="297" customWidth="1"/>
    <col min="13" max="13" width="19.453125" style="297" customWidth="1"/>
    <col min="14" max="14" width="19.453125" style="296" customWidth="1"/>
    <col min="15" max="15" width="20.26953125" style="296" customWidth="1"/>
    <col min="16" max="16" width="20.26953125" style="295" customWidth="1"/>
    <col min="17" max="18" width="18.26953125" style="295" customWidth="1"/>
    <col min="19" max="21" width="16.26953125" style="296" customWidth="1"/>
    <col min="22" max="22" width="16.26953125" style="295" customWidth="1"/>
    <col min="23" max="24" width="16.26953125" style="296" customWidth="1"/>
    <col min="25" max="25" width="16.26953125" style="295" customWidth="1"/>
    <col min="26" max="26" width="16.26953125" style="296" customWidth="1"/>
    <col min="27" max="27" width="42.81640625" style="5" customWidth="1"/>
    <col min="28" max="16384" width="5" style="16"/>
  </cols>
  <sheetData>
    <row r="1" spans="1:27" s="6" customFormat="1" hidden="1" x14ac:dyDescent="0.25">
      <c r="A1" s="1"/>
      <c r="B1" s="2"/>
      <c r="C1" s="3"/>
      <c r="D1" s="2"/>
      <c r="E1" s="2"/>
      <c r="F1" s="2"/>
      <c r="G1" s="2"/>
      <c r="H1" s="2"/>
      <c r="I1" s="2"/>
      <c r="J1" s="2"/>
      <c r="K1" s="3"/>
      <c r="L1" s="4"/>
      <c r="M1" s="4"/>
      <c r="N1" s="3"/>
      <c r="O1" s="3"/>
      <c r="P1" s="2"/>
      <c r="Q1" s="2"/>
      <c r="R1" s="2"/>
      <c r="S1" s="3"/>
      <c r="T1" s="3"/>
      <c r="U1" s="3"/>
      <c r="V1" s="2"/>
      <c r="W1" s="3"/>
      <c r="X1" s="3"/>
      <c r="Y1" s="2"/>
      <c r="Z1" s="3"/>
      <c r="AA1" s="5"/>
    </row>
    <row r="2" spans="1:27" s="6" customFormat="1" hidden="1" x14ac:dyDescent="0.25">
      <c r="A2" s="1"/>
      <c r="B2" s="2"/>
      <c r="C2" s="3"/>
      <c r="D2" s="2"/>
      <c r="E2" s="2"/>
      <c r="F2" s="2"/>
      <c r="G2" s="2"/>
      <c r="H2" s="2"/>
      <c r="I2" s="2"/>
      <c r="J2" s="2"/>
      <c r="K2" s="3"/>
      <c r="L2" s="4"/>
      <c r="M2" s="4"/>
      <c r="N2" s="3"/>
      <c r="O2" s="3"/>
      <c r="P2" s="2"/>
      <c r="Q2" s="2"/>
      <c r="R2" s="2"/>
      <c r="S2" s="3"/>
      <c r="T2" s="3"/>
      <c r="U2" s="3"/>
      <c r="V2" s="2"/>
      <c r="W2" s="3"/>
      <c r="X2" s="3"/>
      <c r="Y2" s="2"/>
      <c r="Z2" s="3"/>
      <c r="AA2" s="5"/>
    </row>
    <row r="3" spans="1:2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5"/>
    </row>
    <row r="4" spans="1:2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5"/>
    </row>
    <row r="5" spans="1:2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4" t="s">
        <v>25</v>
      </c>
      <c r="Z5" s="11" t="s">
        <v>26</v>
      </c>
      <c r="AA5" s="15" t="s">
        <v>27</v>
      </c>
    </row>
    <row r="6" spans="1:27" ht="168.75" customHeight="1" x14ac:dyDescent="0.25">
      <c r="A6" s="17" t="s">
        <v>29</v>
      </c>
      <c r="B6" s="18" t="s">
        <v>30</v>
      </c>
      <c r="C6" s="19" t="s">
        <v>31</v>
      </c>
      <c r="D6" s="19"/>
      <c r="E6" s="20">
        <v>44012</v>
      </c>
      <c r="F6" s="21" t="s">
        <v>32</v>
      </c>
      <c r="G6" s="21" t="s">
        <v>33</v>
      </c>
      <c r="H6" s="22">
        <v>4</v>
      </c>
      <c r="I6" s="23" t="s">
        <v>34</v>
      </c>
      <c r="J6" s="24" t="s">
        <v>35</v>
      </c>
      <c r="K6" s="25" t="s">
        <v>36</v>
      </c>
      <c r="L6" s="18" t="s">
        <v>37</v>
      </c>
      <c r="M6" s="26">
        <f>+N6+Q6+R6</f>
        <v>667308836</v>
      </c>
      <c r="N6" s="26">
        <f t="shared" ref="N6:N73" si="0">+O6+P6</f>
        <v>667308836</v>
      </c>
      <c r="O6" s="27">
        <v>0</v>
      </c>
      <c r="P6" s="28">
        <f>1500000000-250000000-582691164</f>
        <v>667308836</v>
      </c>
      <c r="Q6" s="27"/>
      <c r="R6" s="27"/>
      <c r="S6" s="29" t="s">
        <v>38</v>
      </c>
      <c r="T6" s="29" t="s">
        <v>39</v>
      </c>
      <c r="U6" s="29" t="s">
        <v>40</v>
      </c>
      <c r="V6" s="29" t="s">
        <v>41</v>
      </c>
      <c r="W6" s="29" t="s">
        <v>42</v>
      </c>
      <c r="X6" s="29" t="s">
        <v>43</v>
      </c>
      <c r="Y6" s="29" t="s">
        <v>44</v>
      </c>
      <c r="Z6" s="30" t="s">
        <v>45</v>
      </c>
      <c r="AA6" s="31" t="s">
        <v>46</v>
      </c>
    </row>
    <row r="7" spans="1:27" ht="168.75" customHeight="1" x14ac:dyDescent="0.25">
      <c r="A7" s="34" t="s">
        <v>47</v>
      </c>
      <c r="B7" s="35" t="s">
        <v>48</v>
      </c>
      <c r="C7" s="36" t="s">
        <v>49</v>
      </c>
      <c r="D7" s="37"/>
      <c r="E7" s="38">
        <v>44064</v>
      </c>
      <c r="F7" s="39" t="s">
        <v>50</v>
      </c>
      <c r="G7" s="39" t="s">
        <v>50</v>
      </c>
      <c r="H7" s="40">
        <v>3</v>
      </c>
      <c r="I7" s="41" t="s">
        <v>34</v>
      </c>
      <c r="J7" s="36" t="s">
        <v>35</v>
      </c>
      <c r="K7" s="42" t="s">
        <v>51</v>
      </c>
      <c r="L7" s="43" t="s">
        <v>37</v>
      </c>
      <c r="M7" s="44">
        <f>+N7+Q7+R7</f>
        <v>750000000</v>
      </c>
      <c r="N7" s="45">
        <f>+O7+P7</f>
        <v>750000000</v>
      </c>
      <c r="O7" s="44"/>
      <c r="P7" s="44">
        <v>750000000</v>
      </c>
      <c r="Q7" s="45"/>
      <c r="R7" s="44"/>
      <c r="S7" s="42" t="s">
        <v>38</v>
      </c>
      <c r="T7" s="42" t="s">
        <v>39</v>
      </c>
      <c r="U7" s="42" t="s">
        <v>52</v>
      </c>
      <c r="V7" s="42" t="s">
        <v>53</v>
      </c>
      <c r="W7" s="42" t="s">
        <v>42</v>
      </c>
      <c r="X7" s="42" t="s">
        <v>43</v>
      </c>
      <c r="Y7" s="42" t="s">
        <v>44</v>
      </c>
      <c r="Z7" s="46" t="s">
        <v>45</v>
      </c>
      <c r="AA7" s="47" t="s">
        <v>46</v>
      </c>
    </row>
    <row r="8" spans="1:27" ht="87" customHeight="1" x14ac:dyDescent="0.25">
      <c r="A8" s="17" t="s">
        <v>29</v>
      </c>
      <c r="B8" s="18">
        <v>86116000</v>
      </c>
      <c r="C8" s="19" t="s">
        <v>54</v>
      </c>
      <c r="D8" s="49">
        <v>44106</v>
      </c>
      <c r="E8" s="20">
        <v>43980</v>
      </c>
      <c r="F8" s="21"/>
      <c r="G8" s="21"/>
      <c r="H8" s="50">
        <v>7</v>
      </c>
      <c r="I8" s="23" t="s">
        <v>34</v>
      </c>
      <c r="J8" s="24" t="s">
        <v>55</v>
      </c>
      <c r="K8" s="25" t="s">
        <v>56</v>
      </c>
      <c r="L8" s="18" t="s">
        <v>37</v>
      </c>
      <c r="M8" s="26">
        <f>+N8+Q8+R8</f>
        <v>2553183679</v>
      </c>
      <c r="N8" s="26">
        <f t="shared" si="0"/>
        <v>2553183679</v>
      </c>
      <c r="O8" s="27">
        <v>2553183679</v>
      </c>
      <c r="P8" s="27"/>
      <c r="Q8" s="27"/>
      <c r="R8" s="27"/>
      <c r="S8" s="29" t="s">
        <v>38</v>
      </c>
      <c r="T8" s="29" t="s">
        <v>39</v>
      </c>
      <c r="U8" s="29" t="s">
        <v>57</v>
      </c>
      <c r="V8" s="29" t="s">
        <v>41</v>
      </c>
      <c r="W8" s="29" t="s">
        <v>42</v>
      </c>
      <c r="X8" s="29" t="s">
        <v>43</v>
      </c>
      <c r="Y8" s="29" t="s">
        <v>44</v>
      </c>
      <c r="Z8" s="30" t="s">
        <v>45</v>
      </c>
      <c r="AA8" s="31" t="s">
        <v>46</v>
      </c>
    </row>
    <row r="9" spans="1:27" ht="98.25" customHeight="1" x14ac:dyDescent="0.25">
      <c r="A9" s="17" t="s">
        <v>29</v>
      </c>
      <c r="B9" s="18">
        <v>83000000</v>
      </c>
      <c r="C9" s="19" t="s">
        <v>58</v>
      </c>
      <c r="D9" s="49">
        <v>44106</v>
      </c>
      <c r="E9" s="20">
        <v>43980</v>
      </c>
      <c r="F9" s="21" t="s">
        <v>59</v>
      </c>
      <c r="G9" s="21" t="s">
        <v>59</v>
      </c>
      <c r="H9" s="50">
        <v>7</v>
      </c>
      <c r="I9" s="23" t="s">
        <v>34</v>
      </c>
      <c r="J9" s="24" t="s">
        <v>60</v>
      </c>
      <c r="K9" s="25" t="s">
        <v>56</v>
      </c>
      <c r="L9" s="18" t="s">
        <v>37</v>
      </c>
      <c r="M9" s="26">
        <f t="shared" ref="M9:M85" si="1">+N9+Q9+R9</f>
        <v>530000000</v>
      </c>
      <c r="N9" s="26">
        <f t="shared" si="0"/>
        <v>530000000</v>
      </c>
      <c r="O9" s="27">
        <f>800000000-270000000</f>
        <v>530000000</v>
      </c>
      <c r="P9" s="27"/>
      <c r="Q9" s="27"/>
      <c r="R9" s="27"/>
      <c r="S9" s="29" t="s">
        <v>38</v>
      </c>
      <c r="T9" s="29" t="s">
        <v>39</v>
      </c>
      <c r="U9" s="29" t="s">
        <v>40</v>
      </c>
      <c r="V9" s="29" t="s">
        <v>41</v>
      </c>
      <c r="W9" s="29" t="s">
        <v>42</v>
      </c>
      <c r="X9" s="29" t="s">
        <v>43</v>
      </c>
      <c r="Y9" s="29" t="s">
        <v>44</v>
      </c>
      <c r="Z9" s="30" t="s">
        <v>45</v>
      </c>
      <c r="AA9" s="31" t="s">
        <v>46</v>
      </c>
    </row>
    <row r="10" spans="1:27" ht="57.75" customHeight="1" x14ac:dyDescent="0.25">
      <c r="A10" s="17" t="s">
        <v>29</v>
      </c>
      <c r="B10" s="18">
        <v>86111600</v>
      </c>
      <c r="C10" s="19" t="s">
        <v>61</v>
      </c>
      <c r="D10" s="49">
        <v>44071</v>
      </c>
      <c r="E10" s="20"/>
      <c r="F10" s="21"/>
      <c r="G10" s="21"/>
      <c r="H10" s="50"/>
      <c r="I10" s="23"/>
      <c r="J10" s="24" t="s">
        <v>55</v>
      </c>
      <c r="K10" s="25" t="s">
        <v>62</v>
      </c>
      <c r="L10" s="18" t="s">
        <v>37</v>
      </c>
      <c r="M10" s="26">
        <f t="shared" si="1"/>
        <v>2836535605</v>
      </c>
      <c r="N10" s="26">
        <f t="shared" si="0"/>
        <v>2836535605</v>
      </c>
      <c r="O10" s="26"/>
      <c r="P10" s="27">
        <v>2836535605</v>
      </c>
      <c r="Q10" s="27"/>
      <c r="R10" s="27"/>
      <c r="S10" s="29" t="s">
        <v>38</v>
      </c>
      <c r="T10" s="29" t="s">
        <v>39</v>
      </c>
      <c r="U10" s="29" t="s">
        <v>57</v>
      </c>
      <c r="V10" s="29" t="s">
        <v>41</v>
      </c>
      <c r="W10" s="29" t="s">
        <v>42</v>
      </c>
      <c r="X10" s="29" t="s">
        <v>43</v>
      </c>
      <c r="Y10" s="29" t="s">
        <v>44</v>
      </c>
      <c r="Z10" s="30" t="s">
        <v>45</v>
      </c>
      <c r="AA10" s="31" t="s">
        <v>46</v>
      </c>
    </row>
    <row r="11" spans="1:27" ht="99" customHeight="1" x14ac:dyDescent="0.25">
      <c r="A11" s="17" t="s">
        <v>29</v>
      </c>
      <c r="B11" s="18" t="s">
        <v>63</v>
      </c>
      <c r="C11" s="52" t="s">
        <v>64</v>
      </c>
      <c r="D11" s="49">
        <v>44082</v>
      </c>
      <c r="E11" s="20"/>
      <c r="F11" s="29"/>
      <c r="G11" s="29"/>
      <c r="H11" s="53"/>
      <c r="I11" s="29" t="s">
        <v>34</v>
      </c>
      <c r="J11" s="24" t="s">
        <v>55</v>
      </c>
      <c r="K11" s="52" t="s">
        <v>65</v>
      </c>
      <c r="L11" s="18" t="s">
        <v>37</v>
      </c>
      <c r="M11" s="26">
        <f t="shared" si="1"/>
        <v>1051718685</v>
      </c>
      <c r="N11" s="26">
        <f t="shared" si="0"/>
        <v>1051718685</v>
      </c>
      <c r="O11" s="26">
        <v>1051718685</v>
      </c>
      <c r="P11" s="26"/>
      <c r="Q11" s="26"/>
      <c r="R11" s="26"/>
      <c r="S11" s="29" t="s">
        <v>38</v>
      </c>
      <c r="T11" s="29" t="s">
        <v>66</v>
      </c>
      <c r="U11" s="29" t="s">
        <v>57</v>
      </c>
      <c r="V11" s="29" t="s">
        <v>41</v>
      </c>
      <c r="W11" s="29" t="s">
        <v>42</v>
      </c>
      <c r="X11" s="29" t="s">
        <v>43</v>
      </c>
      <c r="Y11" s="29" t="s">
        <v>44</v>
      </c>
      <c r="Z11" s="30" t="s">
        <v>67</v>
      </c>
      <c r="AA11" s="31" t="s">
        <v>46</v>
      </c>
    </row>
    <row r="12" spans="1:27" ht="116.25" customHeight="1" x14ac:dyDescent="0.25">
      <c r="A12" s="17" t="s">
        <v>29</v>
      </c>
      <c r="B12" s="18" t="s">
        <v>30</v>
      </c>
      <c r="C12" s="19" t="s">
        <v>68</v>
      </c>
      <c r="D12" s="19"/>
      <c r="E12" s="20">
        <v>43994</v>
      </c>
      <c r="F12" s="29" t="s">
        <v>59</v>
      </c>
      <c r="G12" s="54" t="s">
        <v>59</v>
      </c>
      <c r="H12" s="22">
        <v>4</v>
      </c>
      <c r="I12" s="23" t="s">
        <v>34</v>
      </c>
      <c r="J12" s="24" t="s">
        <v>35</v>
      </c>
      <c r="K12" s="25" t="s">
        <v>69</v>
      </c>
      <c r="L12" s="18" t="s">
        <v>37</v>
      </c>
      <c r="M12" s="26">
        <f t="shared" si="1"/>
        <v>3200000000</v>
      </c>
      <c r="N12" s="26">
        <f t="shared" si="0"/>
        <v>3200000000</v>
      </c>
      <c r="O12" s="27">
        <v>0</v>
      </c>
      <c r="P12" s="27">
        <f>4120000000-920000000</f>
        <v>3200000000</v>
      </c>
      <c r="Q12" s="27"/>
      <c r="R12" s="27"/>
      <c r="S12" s="29" t="s">
        <v>38</v>
      </c>
      <c r="T12" s="29" t="s">
        <v>39</v>
      </c>
      <c r="U12" s="29" t="s">
        <v>40</v>
      </c>
      <c r="V12" s="29" t="s">
        <v>41</v>
      </c>
      <c r="W12" s="29" t="s">
        <v>42</v>
      </c>
      <c r="X12" s="29" t="s">
        <v>43</v>
      </c>
      <c r="Y12" s="29" t="s">
        <v>44</v>
      </c>
      <c r="Z12" s="30" t="s">
        <v>45</v>
      </c>
      <c r="AA12" s="31" t="s">
        <v>46</v>
      </c>
    </row>
    <row r="13" spans="1:27" ht="116.25" customHeight="1" x14ac:dyDescent="0.25">
      <c r="A13" s="55" t="s">
        <v>29</v>
      </c>
      <c r="B13" s="56" t="s">
        <v>30</v>
      </c>
      <c r="C13" s="57" t="s">
        <v>70</v>
      </c>
      <c r="D13" s="57"/>
      <c r="E13" s="58">
        <v>44102</v>
      </c>
      <c r="F13" s="33" t="s">
        <v>71</v>
      </c>
      <c r="G13" s="59" t="s">
        <v>71</v>
      </c>
      <c r="H13" s="60">
        <v>3</v>
      </c>
      <c r="I13" s="61" t="s">
        <v>34</v>
      </c>
      <c r="J13" s="62" t="s">
        <v>72</v>
      </c>
      <c r="K13" s="63" t="s">
        <v>73</v>
      </c>
      <c r="L13" s="56" t="s">
        <v>37</v>
      </c>
      <c r="M13" s="64">
        <f t="shared" si="1"/>
        <v>409920000</v>
      </c>
      <c r="N13" s="64">
        <f t="shared" si="0"/>
        <v>409920000</v>
      </c>
      <c r="O13" s="65">
        <v>0</v>
      </c>
      <c r="P13" s="65">
        <f>409920000</f>
        <v>409920000</v>
      </c>
      <c r="Q13" s="65"/>
      <c r="R13" s="65"/>
      <c r="S13" s="33" t="s">
        <v>38</v>
      </c>
      <c r="T13" s="33" t="s">
        <v>39</v>
      </c>
      <c r="U13" s="33"/>
      <c r="V13" s="33" t="s">
        <v>41</v>
      </c>
      <c r="W13" s="33" t="s">
        <v>42</v>
      </c>
      <c r="X13" s="33" t="s">
        <v>43</v>
      </c>
      <c r="Y13" s="33" t="s">
        <v>44</v>
      </c>
      <c r="Z13" s="48" t="s">
        <v>45</v>
      </c>
      <c r="AA13" s="66" t="s">
        <v>46</v>
      </c>
    </row>
    <row r="14" spans="1:27" ht="116.25" customHeight="1" x14ac:dyDescent="0.25">
      <c r="A14" s="55" t="s">
        <v>29</v>
      </c>
      <c r="B14" s="56" t="s">
        <v>30</v>
      </c>
      <c r="C14" s="57" t="s">
        <v>74</v>
      </c>
      <c r="D14" s="57"/>
      <c r="E14" s="58"/>
      <c r="F14" s="33"/>
      <c r="G14" s="59"/>
      <c r="H14" s="60"/>
      <c r="I14" s="61"/>
      <c r="J14" s="62"/>
      <c r="K14" s="63" t="s">
        <v>69</v>
      </c>
      <c r="L14" s="56" t="s">
        <v>37</v>
      </c>
      <c r="M14" s="64">
        <f>+N14+Q14+R14</f>
        <v>920000000</v>
      </c>
      <c r="N14" s="64">
        <f t="shared" si="0"/>
        <v>920000000</v>
      </c>
      <c r="O14" s="65">
        <v>0</v>
      </c>
      <c r="P14" s="65">
        <f>920000000</f>
        <v>920000000</v>
      </c>
      <c r="Q14" s="65"/>
      <c r="R14" s="65"/>
      <c r="S14" s="33" t="s">
        <v>38</v>
      </c>
      <c r="T14" s="33" t="s">
        <v>39</v>
      </c>
      <c r="U14" s="33" t="s">
        <v>75</v>
      </c>
      <c r="V14" s="33" t="s">
        <v>41</v>
      </c>
      <c r="W14" s="33" t="s">
        <v>42</v>
      </c>
      <c r="X14" s="33" t="s">
        <v>43</v>
      </c>
      <c r="Y14" s="33" t="s">
        <v>44</v>
      </c>
      <c r="Z14" s="48" t="s">
        <v>45</v>
      </c>
      <c r="AA14" s="66" t="s">
        <v>46</v>
      </c>
    </row>
    <row r="15" spans="1:27" ht="144" customHeight="1" x14ac:dyDescent="0.25">
      <c r="A15" s="55" t="s">
        <v>76</v>
      </c>
      <c r="B15" s="56" t="s">
        <v>30</v>
      </c>
      <c r="C15" s="57" t="s">
        <v>77</v>
      </c>
      <c r="D15" s="57"/>
      <c r="E15" s="58"/>
      <c r="F15" s="33"/>
      <c r="G15" s="59"/>
      <c r="H15" s="67"/>
      <c r="I15" s="61"/>
      <c r="J15" s="62"/>
      <c r="K15" s="63" t="s">
        <v>78</v>
      </c>
      <c r="L15" s="56" t="s">
        <v>37</v>
      </c>
      <c r="M15" s="64">
        <f t="shared" si="1"/>
        <v>200000000</v>
      </c>
      <c r="N15" s="64">
        <f t="shared" si="0"/>
        <v>200000000</v>
      </c>
      <c r="O15" s="65"/>
      <c r="P15" s="65">
        <v>200000000</v>
      </c>
      <c r="Q15" s="65"/>
      <c r="R15" s="65"/>
      <c r="S15" s="33" t="s">
        <v>38</v>
      </c>
      <c r="T15" s="33" t="s">
        <v>39</v>
      </c>
      <c r="U15" s="33" t="s">
        <v>75</v>
      </c>
      <c r="V15" s="33" t="s">
        <v>79</v>
      </c>
      <c r="W15" s="33" t="s">
        <v>42</v>
      </c>
      <c r="X15" s="33" t="s">
        <v>43</v>
      </c>
      <c r="Y15" s="33" t="s">
        <v>44</v>
      </c>
      <c r="Z15" s="48" t="s">
        <v>45</v>
      </c>
      <c r="AA15" s="66" t="s">
        <v>46</v>
      </c>
    </row>
    <row r="16" spans="1:27" ht="124.5" customHeight="1" x14ac:dyDescent="0.25">
      <c r="A16" s="17" t="s">
        <v>76</v>
      </c>
      <c r="B16" s="18">
        <v>86101700</v>
      </c>
      <c r="C16" s="19" t="s">
        <v>80</v>
      </c>
      <c r="D16" s="19"/>
      <c r="E16" s="68">
        <v>43951</v>
      </c>
      <c r="F16" s="29" t="s">
        <v>59</v>
      </c>
      <c r="G16" s="69" t="s">
        <v>33</v>
      </c>
      <c r="H16" s="70">
        <v>4</v>
      </c>
      <c r="I16" s="23" t="s">
        <v>34</v>
      </c>
      <c r="J16" s="24" t="s">
        <v>35</v>
      </c>
      <c r="K16" s="25" t="s">
        <v>81</v>
      </c>
      <c r="L16" s="18"/>
      <c r="M16" s="26">
        <f>+N16+Q16+R16</f>
        <v>431367330</v>
      </c>
      <c r="N16" s="26">
        <f t="shared" si="0"/>
        <v>431367330</v>
      </c>
      <c r="O16" s="27"/>
      <c r="P16" s="27">
        <f>500000000-68632670</f>
        <v>431367330</v>
      </c>
      <c r="Q16" s="71"/>
      <c r="R16" s="26"/>
      <c r="S16" s="29" t="s">
        <v>38</v>
      </c>
      <c r="T16" s="29" t="s">
        <v>39</v>
      </c>
      <c r="U16" s="29" t="s">
        <v>40</v>
      </c>
      <c r="V16" s="29" t="s">
        <v>79</v>
      </c>
      <c r="W16" s="29" t="s">
        <v>42</v>
      </c>
      <c r="X16" s="29" t="s">
        <v>43</v>
      </c>
      <c r="Y16" s="29" t="s">
        <v>44</v>
      </c>
      <c r="Z16" s="30" t="s">
        <v>45</v>
      </c>
      <c r="AA16" s="31" t="s">
        <v>46</v>
      </c>
    </row>
    <row r="17" spans="1:27" ht="124.5" customHeight="1" x14ac:dyDescent="0.25">
      <c r="A17" s="55" t="s">
        <v>76</v>
      </c>
      <c r="B17" s="56">
        <v>86101700</v>
      </c>
      <c r="C17" s="57" t="s">
        <v>82</v>
      </c>
      <c r="D17" s="57"/>
      <c r="E17" s="72"/>
      <c r="F17" s="33"/>
      <c r="G17" s="73"/>
      <c r="H17" s="74"/>
      <c r="I17" s="61"/>
      <c r="J17" s="62"/>
      <c r="K17" s="63" t="s">
        <v>81</v>
      </c>
      <c r="L17" s="56"/>
      <c r="M17" s="64">
        <f>+N17+Q17+R17</f>
        <v>68632670</v>
      </c>
      <c r="N17" s="64">
        <f t="shared" si="0"/>
        <v>68632670</v>
      </c>
      <c r="O17" s="65"/>
      <c r="P17" s="65">
        <f>500000000-431367330</f>
        <v>68632670</v>
      </c>
      <c r="Q17" s="75"/>
      <c r="R17" s="64"/>
      <c r="S17" s="33" t="s">
        <v>38</v>
      </c>
      <c r="T17" s="33" t="s">
        <v>39</v>
      </c>
      <c r="U17" s="33" t="s">
        <v>75</v>
      </c>
      <c r="V17" s="33" t="s">
        <v>79</v>
      </c>
      <c r="W17" s="33" t="s">
        <v>42</v>
      </c>
      <c r="X17" s="33" t="s">
        <v>43</v>
      </c>
      <c r="Y17" s="33" t="s">
        <v>44</v>
      </c>
      <c r="Z17" s="48" t="s">
        <v>45</v>
      </c>
      <c r="AA17" s="66" t="s">
        <v>46</v>
      </c>
    </row>
    <row r="18" spans="1:27" ht="173.25" customHeight="1" x14ac:dyDescent="0.25">
      <c r="A18" s="17" t="s">
        <v>83</v>
      </c>
      <c r="B18" s="24">
        <v>84131601</v>
      </c>
      <c r="C18" s="19" t="s">
        <v>84</v>
      </c>
      <c r="D18" s="19"/>
      <c r="E18" s="20"/>
      <c r="F18" s="21"/>
      <c r="G18" s="29"/>
      <c r="H18" s="29"/>
      <c r="I18" s="23"/>
      <c r="J18" s="24" t="s">
        <v>85</v>
      </c>
      <c r="K18" s="52" t="s">
        <v>86</v>
      </c>
      <c r="L18" s="18" t="s">
        <v>37</v>
      </c>
      <c r="M18" s="26">
        <f t="shared" si="1"/>
        <v>0</v>
      </c>
      <c r="N18" s="26">
        <f t="shared" si="0"/>
        <v>0</v>
      </c>
      <c r="O18" s="26"/>
      <c r="P18" s="26"/>
      <c r="Q18" s="26"/>
      <c r="R18" s="26"/>
      <c r="S18" s="29" t="s">
        <v>38</v>
      </c>
      <c r="T18" s="29" t="s">
        <v>39</v>
      </c>
      <c r="U18" s="29" t="s">
        <v>40</v>
      </c>
      <c r="V18" s="29" t="s">
        <v>87</v>
      </c>
      <c r="W18" s="29" t="s">
        <v>42</v>
      </c>
      <c r="X18" s="29" t="s">
        <v>43</v>
      </c>
      <c r="Y18" s="29" t="s">
        <v>44</v>
      </c>
      <c r="Z18" s="30" t="s">
        <v>45</v>
      </c>
      <c r="AA18" s="31" t="s">
        <v>46</v>
      </c>
    </row>
    <row r="19" spans="1:27" ht="173.25" customHeight="1" x14ac:dyDescent="0.25">
      <c r="A19" s="55" t="s">
        <v>83</v>
      </c>
      <c r="B19" s="62">
        <v>84131601</v>
      </c>
      <c r="C19" s="57" t="s">
        <v>88</v>
      </c>
      <c r="D19" s="57"/>
      <c r="E19" s="58"/>
      <c r="F19" s="76"/>
      <c r="G19" s="33"/>
      <c r="H19" s="33"/>
      <c r="I19" s="61"/>
      <c r="J19" s="62"/>
      <c r="K19" s="77" t="s">
        <v>86</v>
      </c>
      <c r="L19" s="56" t="s">
        <v>37</v>
      </c>
      <c r="M19" s="64">
        <f>+N19+Q19+R19</f>
        <v>238762790</v>
      </c>
      <c r="N19" s="64">
        <f t="shared" si="0"/>
        <v>238762790</v>
      </c>
      <c r="O19" s="64"/>
      <c r="P19" s="64">
        <f>174489272+64273518</f>
        <v>238762790</v>
      </c>
      <c r="Q19" s="64"/>
      <c r="R19" s="64"/>
      <c r="S19" s="33" t="s">
        <v>38</v>
      </c>
      <c r="T19" s="33" t="s">
        <v>39</v>
      </c>
      <c r="U19" s="33" t="s">
        <v>75</v>
      </c>
      <c r="V19" s="33" t="s">
        <v>87</v>
      </c>
      <c r="W19" s="33" t="s">
        <v>42</v>
      </c>
      <c r="X19" s="33" t="s">
        <v>43</v>
      </c>
      <c r="Y19" s="33" t="s">
        <v>44</v>
      </c>
      <c r="Z19" s="48" t="s">
        <v>45</v>
      </c>
      <c r="AA19" s="66" t="s">
        <v>46</v>
      </c>
    </row>
    <row r="20" spans="1:27" ht="87.65" customHeight="1" x14ac:dyDescent="0.25">
      <c r="A20" s="17" t="s">
        <v>47</v>
      </c>
      <c r="B20" s="18" t="s">
        <v>89</v>
      </c>
      <c r="C20" s="19" t="s">
        <v>90</v>
      </c>
      <c r="D20" s="49"/>
      <c r="E20" s="20">
        <v>43903</v>
      </c>
      <c r="F20" s="21" t="s">
        <v>91</v>
      </c>
      <c r="G20" s="21" t="s">
        <v>91</v>
      </c>
      <c r="H20" s="78" t="s">
        <v>92</v>
      </c>
      <c r="I20" s="23" t="s">
        <v>34</v>
      </c>
      <c r="J20" s="19" t="s">
        <v>35</v>
      </c>
      <c r="K20" s="25" t="s">
        <v>93</v>
      </c>
      <c r="L20" s="79" t="s">
        <v>37</v>
      </c>
      <c r="M20" s="26">
        <f>+N20+Q20+R20</f>
        <v>1600000000</v>
      </c>
      <c r="N20" s="26">
        <f t="shared" si="0"/>
        <v>1600000000</v>
      </c>
      <c r="O20" s="26"/>
      <c r="P20" s="26">
        <v>1600000000</v>
      </c>
      <c r="Q20" s="26"/>
      <c r="R20" s="26"/>
      <c r="S20" s="29" t="s">
        <v>38</v>
      </c>
      <c r="T20" s="29" t="s">
        <v>39</v>
      </c>
      <c r="U20" s="29" t="s">
        <v>40</v>
      </c>
      <c r="V20" s="29" t="s">
        <v>53</v>
      </c>
      <c r="W20" s="29" t="s">
        <v>42</v>
      </c>
      <c r="X20" s="29" t="s">
        <v>43</v>
      </c>
      <c r="Y20" s="29" t="s">
        <v>44</v>
      </c>
      <c r="Z20" s="30" t="s">
        <v>45</v>
      </c>
      <c r="AA20" s="31" t="s">
        <v>46</v>
      </c>
    </row>
    <row r="21" spans="1:27" ht="228" customHeight="1" x14ac:dyDescent="0.25">
      <c r="A21" s="34" t="s">
        <v>47</v>
      </c>
      <c r="B21" s="43" t="s">
        <v>94</v>
      </c>
      <c r="C21" s="36" t="s">
        <v>95</v>
      </c>
      <c r="D21" s="36"/>
      <c r="E21" s="80">
        <v>43889</v>
      </c>
      <c r="F21" s="42" t="s">
        <v>50</v>
      </c>
      <c r="G21" s="42" t="s">
        <v>71</v>
      </c>
      <c r="H21" s="81">
        <v>10</v>
      </c>
      <c r="I21" s="42" t="s">
        <v>34</v>
      </c>
      <c r="J21" s="43" t="s">
        <v>35</v>
      </c>
      <c r="K21" s="82" t="s">
        <v>96</v>
      </c>
      <c r="L21" s="35" t="s">
        <v>97</v>
      </c>
      <c r="M21" s="44">
        <f t="shared" si="1"/>
        <v>4901250000</v>
      </c>
      <c r="N21" s="44">
        <f t="shared" si="0"/>
        <v>1470375000</v>
      </c>
      <c r="O21" s="44"/>
      <c r="P21" s="44">
        <f>1088259028+382115972</f>
        <v>1470375000</v>
      </c>
      <c r="Q21" s="44">
        <v>3430875000</v>
      </c>
      <c r="R21" s="44"/>
      <c r="S21" s="42" t="s">
        <v>98</v>
      </c>
      <c r="T21" s="42" t="s">
        <v>99</v>
      </c>
      <c r="U21" s="42" t="s">
        <v>52</v>
      </c>
      <c r="V21" s="42" t="s">
        <v>53</v>
      </c>
      <c r="W21" s="42" t="s">
        <v>42</v>
      </c>
      <c r="X21" s="42" t="s">
        <v>43</v>
      </c>
      <c r="Y21" s="42" t="s">
        <v>44</v>
      </c>
      <c r="Z21" s="46" t="s">
        <v>100</v>
      </c>
      <c r="AA21" s="47" t="s">
        <v>46</v>
      </c>
    </row>
    <row r="22" spans="1:27" ht="71.25" customHeight="1" x14ac:dyDescent="0.25">
      <c r="A22" s="17" t="s">
        <v>101</v>
      </c>
      <c r="B22" s="24" t="s">
        <v>102</v>
      </c>
      <c r="C22" s="19" t="s">
        <v>103</v>
      </c>
      <c r="D22" s="19"/>
      <c r="E22" s="20">
        <v>43861</v>
      </c>
      <c r="F22" s="29" t="s">
        <v>104</v>
      </c>
      <c r="G22" s="29" t="s">
        <v>104</v>
      </c>
      <c r="H22" s="53">
        <v>10</v>
      </c>
      <c r="I22" s="23" t="s">
        <v>34</v>
      </c>
      <c r="J22" s="24" t="s">
        <v>35</v>
      </c>
      <c r="K22" s="52" t="s">
        <v>105</v>
      </c>
      <c r="L22" s="18" t="s">
        <v>37</v>
      </c>
      <c r="M22" s="26">
        <f t="shared" si="1"/>
        <v>482131187.88</v>
      </c>
      <c r="N22" s="26">
        <f t="shared" si="0"/>
        <v>482131187.88</v>
      </c>
      <c r="O22" s="26">
        <f>482131298.88-111</f>
        <v>482131187.88</v>
      </c>
      <c r="P22" s="26">
        <v>0</v>
      </c>
      <c r="Q22" s="26"/>
      <c r="R22" s="26"/>
      <c r="S22" s="29" t="s">
        <v>38</v>
      </c>
      <c r="T22" s="29" t="s">
        <v>39</v>
      </c>
      <c r="U22" s="29" t="s">
        <v>40</v>
      </c>
      <c r="V22" s="29" t="s">
        <v>106</v>
      </c>
      <c r="W22" s="29" t="s">
        <v>42</v>
      </c>
      <c r="X22" s="29" t="s">
        <v>43</v>
      </c>
      <c r="Y22" s="29" t="s">
        <v>44</v>
      </c>
      <c r="Z22" s="30" t="s">
        <v>45</v>
      </c>
      <c r="AA22" s="31" t="s">
        <v>46</v>
      </c>
    </row>
    <row r="23" spans="1:27" ht="156.75" customHeight="1" x14ac:dyDescent="0.25">
      <c r="A23" s="55" t="s">
        <v>107</v>
      </c>
      <c r="B23" s="62" t="s">
        <v>108</v>
      </c>
      <c r="C23" s="57" t="s">
        <v>109</v>
      </c>
      <c r="D23" s="57"/>
      <c r="E23" s="58"/>
      <c r="F23" s="33"/>
      <c r="G23" s="59"/>
      <c r="H23" s="67"/>
      <c r="I23" s="61"/>
      <c r="J23" s="62"/>
      <c r="K23" s="77" t="s">
        <v>110</v>
      </c>
      <c r="L23" s="56" t="s">
        <v>37</v>
      </c>
      <c r="M23" s="64">
        <f t="shared" si="1"/>
        <v>349566824</v>
      </c>
      <c r="N23" s="64">
        <f t="shared" si="0"/>
        <v>349566824</v>
      </c>
      <c r="O23" s="64">
        <f>199292730+56267860-131461560-124099030</f>
        <v>0</v>
      </c>
      <c r="P23" s="64">
        <v>349566824</v>
      </c>
      <c r="Q23" s="64"/>
      <c r="R23" s="64"/>
      <c r="S23" s="33" t="s">
        <v>38</v>
      </c>
      <c r="T23" s="33" t="s">
        <v>39</v>
      </c>
      <c r="U23" s="33" t="s">
        <v>75</v>
      </c>
      <c r="V23" s="33" t="s">
        <v>111</v>
      </c>
      <c r="W23" s="33" t="s">
        <v>42</v>
      </c>
      <c r="X23" s="33" t="s">
        <v>43</v>
      </c>
      <c r="Y23" s="33" t="s">
        <v>44</v>
      </c>
      <c r="Z23" s="48" t="s">
        <v>45</v>
      </c>
      <c r="AA23" s="66" t="s">
        <v>46</v>
      </c>
    </row>
    <row r="24" spans="1:27" ht="156.75" customHeight="1" x14ac:dyDescent="0.25">
      <c r="A24" s="17" t="s">
        <v>112</v>
      </c>
      <c r="B24" s="24" t="s">
        <v>113</v>
      </c>
      <c r="C24" s="19" t="s">
        <v>114</v>
      </c>
      <c r="D24" s="19"/>
      <c r="E24" s="20">
        <v>43889</v>
      </c>
      <c r="F24" s="29" t="s">
        <v>115</v>
      </c>
      <c r="G24" s="54" t="s">
        <v>115</v>
      </c>
      <c r="H24" s="53">
        <v>6</v>
      </c>
      <c r="I24" s="23" t="s">
        <v>34</v>
      </c>
      <c r="J24" s="24" t="s">
        <v>35</v>
      </c>
      <c r="K24" s="52" t="s">
        <v>116</v>
      </c>
      <c r="L24" s="18" t="s">
        <v>117</v>
      </c>
      <c r="M24" s="26">
        <f>+N24+Q24+R24</f>
        <v>324500000</v>
      </c>
      <c r="N24" s="26">
        <f t="shared" si="0"/>
        <v>324500000</v>
      </c>
      <c r="O24" s="26"/>
      <c r="P24" s="26">
        <f>350000000-25500000</f>
        <v>324500000</v>
      </c>
      <c r="Q24" s="26"/>
      <c r="R24" s="26"/>
      <c r="S24" s="29" t="s">
        <v>38</v>
      </c>
      <c r="T24" s="29" t="s">
        <v>39</v>
      </c>
      <c r="U24" s="29" t="s">
        <v>40</v>
      </c>
      <c r="V24" s="29" t="s">
        <v>118</v>
      </c>
      <c r="W24" s="29" t="s">
        <v>119</v>
      </c>
      <c r="X24" s="29" t="s">
        <v>43</v>
      </c>
      <c r="Y24" s="29" t="s">
        <v>44</v>
      </c>
      <c r="Z24" s="30" t="s">
        <v>120</v>
      </c>
      <c r="AA24" s="31" t="s">
        <v>46</v>
      </c>
    </row>
    <row r="25" spans="1:27" ht="156.75" customHeight="1" x14ac:dyDescent="0.25">
      <c r="A25" s="55" t="s">
        <v>112</v>
      </c>
      <c r="B25" s="62" t="s">
        <v>113</v>
      </c>
      <c r="C25" s="57" t="s">
        <v>121</v>
      </c>
      <c r="D25" s="57"/>
      <c r="E25" s="58"/>
      <c r="F25" s="33"/>
      <c r="G25" s="59"/>
      <c r="H25" s="67"/>
      <c r="I25" s="61"/>
      <c r="J25" s="62"/>
      <c r="K25" s="77" t="s">
        <v>116</v>
      </c>
      <c r="L25" s="56" t="s">
        <v>117</v>
      </c>
      <c r="M25" s="64">
        <f>+N25+Q25+R25</f>
        <v>25500000</v>
      </c>
      <c r="N25" s="64">
        <f t="shared" si="0"/>
        <v>25500000</v>
      </c>
      <c r="O25" s="64"/>
      <c r="P25" s="64">
        <f>350000000-324500000</f>
        <v>25500000</v>
      </c>
      <c r="Q25" s="64"/>
      <c r="R25" s="64"/>
      <c r="S25" s="33" t="s">
        <v>38</v>
      </c>
      <c r="T25" s="33" t="s">
        <v>39</v>
      </c>
      <c r="U25" s="33" t="s">
        <v>75</v>
      </c>
      <c r="V25" s="33" t="s">
        <v>118</v>
      </c>
      <c r="W25" s="33" t="s">
        <v>119</v>
      </c>
      <c r="X25" s="33" t="s">
        <v>43</v>
      </c>
      <c r="Y25" s="33" t="s">
        <v>44</v>
      </c>
      <c r="Z25" s="48" t="s">
        <v>120</v>
      </c>
      <c r="AA25" s="66" t="s">
        <v>46</v>
      </c>
    </row>
    <row r="26" spans="1:27" ht="156.75" customHeight="1" x14ac:dyDescent="0.25">
      <c r="A26" s="17" t="s">
        <v>107</v>
      </c>
      <c r="B26" s="24" t="s">
        <v>122</v>
      </c>
      <c r="C26" s="19" t="s">
        <v>123</v>
      </c>
      <c r="D26" s="19"/>
      <c r="E26" s="20">
        <v>43921</v>
      </c>
      <c r="F26" s="29" t="s">
        <v>33</v>
      </c>
      <c r="G26" s="29" t="s">
        <v>33</v>
      </c>
      <c r="H26" s="53">
        <v>11</v>
      </c>
      <c r="I26" s="23" t="s">
        <v>34</v>
      </c>
      <c r="J26" s="24" t="s">
        <v>35</v>
      </c>
      <c r="K26" s="52" t="s">
        <v>124</v>
      </c>
      <c r="L26" s="18" t="s">
        <v>37</v>
      </c>
      <c r="M26" s="26">
        <f t="shared" si="1"/>
        <v>4452567490</v>
      </c>
      <c r="N26" s="26">
        <f t="shared" si="0"/>
        <v>3116797243</v>
      </c>
      <c r="O26" s="26">
        <f>463535700+64651618-25096747</f>
        <v>503090571</v>
      </c>
      <c r="P26" s="26">
        <f>2627017700+344794982-358106010</f>
        <v>2613706672</v>
      </c>
      <c r="Q26" s="26">
        <v>1335770247</v>
      </c>
      <c r="R26" s="26"/>
      <c r="S26" s="29" t="s">
        <v>98</v>
      </c>
      <c r="T26" s="29" t="s">
        <v>39</v>
      </c>
      <c r="U26" s="29" t="s">
        <v>40</v>
      </c>
      <c r="V26" s="29" t="s">
        <v>111</v>
      </c>
      <c r="W26" s="29" t="s">
        <v>42</v>
      </c>
      <c r="X26" s="29" t="s">
        <v>43</v>
      </c>
      <c r="Y26" s="29" t="s">
        <v>44</v>
      </c>
      <c r="Z26" s="30" t="s">
        <v>45</v>
      </c>
      <c r="AA26" s="31" t="s">
        <v>46</v>
      </c>
    </row>
    <row r="27" spans="1:27" ht="156.75" customHeight="1" x14ac:dyDescent="0.25">
      <c r="A27" s="55" t="s">
        <v>107</v>
      </c>
      <c r="B27" s="62" t="s">
        <v>122</v>
      </c>
      <c r="C27" s="57" t="s">
        <v>125</v>
      </c>
      <c r="D27" s="57"/>
      <c r="E27" s="58"/>
      <c r="F27" s="33"/>
      <c r="G27" s="33"/>
      <c r="H27" s="67"/>
      <c r="I27" s="61"/>
      <c r="J27" s="62"/>
      <c r="K27" s="77" t="s">
        <v>124</v>
      </c>
      <c r="L27" s="56" t="s">
        <v>37</v>
      </c>
      <c r="M27" s="64">
        <f>+N27+Q27+R27</f>
        <v>358106010</v>
      </c>
      <c r="N27" s="64">
        <f t="shared" si="0"/>
        <v>358106010</v>
      </c>
      <c r="O27" s="64"/>
      <c r="P27" s="64">
        <f>358106010</f>
        <v>358106010</v>
      </c>
      <c r="Q27" s="64"/>
      <c r="R27" s="64"/>
      <c r="S27" s="33" t="s">
        <v>38</v>
      </c>
      <c r="T27" s="33" t="s">
        <v>39</v>
      </c>
      <c r="U27" s="33" t="s">
        <v>75</v>
      </c>
      <c r="V27" s="33" t="s">
        <v>111</v>
      </c>
      <c r="W27" s="33" t="s">
        <v>42</v>
      </c>
      <c r="X27" s="33" t="s">
        <v>43</v>
      </c>
      <c r="Y27" s="33" t="s">
        <v>44</v>
      </c>
      <c r="Z27" s="48" t="s">
        <v>45</v>
      </c>
      <c r="AA27" s="66" t="s">
        <v>46</v>
      </c>
    </row>
    <row r="28" spans="1:27" ht="157.5" customHeight="1" x14ac:dyDescent="0.25">
      <c r="A28" s="17" t="s">
        <v>112</v>
      </c>
      <c r="B28" s="24" t="s">
        <v>126</v>
      </c>
      <c r="C28" s="19" t="s">
        <v>127</v>
      </c>
      <c r="D28" s="19"/>
      <c r="E28" s="20">
        <v>44012</v>
      </c>
      <c r="F28" s="29" t="s">
        <v>59</v>
      </c>
      <c r="G28" s="29" t="s">
        <v>59</v>
      </c>
      <c r="H28" s="53">
        <v>4</v>
      </c>
      <c r="I28" s="23" t="s">
        <v>34</v>
      </c>
      <c r="J28" s="24" t="s">
        <v>35</v>
      </c>
      <c r="K28" s="52" t="s">
        <v>128</v>
      </c>
      <c r="L28" s="18" t="s">
        <v>129</v>
      </c>
      <c r="M28" s="26">
        <f t="shared" si="1"/>
        <v>306074960</v>
      </c>
      <c r="N28" s="26">
        <f t="shared" si="0"/>
        <v>306074960</v>
      </c>
      <c r="O28" s="26">
        <f>306074960</f>
        <v>306074960</v>
      </c>
      <c r="P28" s="26"/>
      <c r="Q28" s="26"/>
      <c r="R28" s="26"/>
      <c r="S28" s="29" t="s">
        <v>38</v>
      </c>
      <c r="T28" s="29" t="s">
        <v>39</v>
      </c>
      <c r="U28" s="29" t="s">
        <v>40</v>
      </c>
      <c r="V28" s="29" t="s">
        <v>118</v>
      </c>
      <c r="W28" s="29" t="s">
        <v>42</v>
      </c>
      <c r="X28" s="29" t="s">
        <v>43</v>
      </c>
      <c r="Y28" s="29" t="s">
        <v>44</v>
      </c>
      <c r="Z28" s="30" t="s">
        <v>45</v>
      </c>
      <c r="AA28" s="31" t="s">
        <v>46</v>
      </c>
    </row>
    <row r="29" spans="1:27" ht="86.25" customHeight="1" x14ac:dyDescent="0.25">
      <c r="A29" s="34" t="s">
        <v>112</v>
      </c>
      <c r="B29" s="43" t="s">
        <v>126</v>
      </c>
      <c r="C29" s="36" t="s">
        <v>130</v>
      </c>
      <c r="D29" s="83"/>
      <c r="E29" s="80">
        <v>44043</v>
      </c>
      <c r="F29" s="42" t="s">
        <v>32</v>
      </c>
      <c r="G29" s="42" t="s">
        <v>33</v>
      </c>
      <c r="H29" s="81">
        <v>4</v>
      </c>
      <c r="I29" s="41" t="s">
        <v>34</v>
      </c>
      <c r="J29" s="43" t="s">
        <v>35</v>
      </c>
      <c r="K29" s="82" t="s">
        <v>131</v>
      </c>
      <c r="L29" s="35" t="s">
        <v>129</v>
      </c>
      <c r="M29" s="44">
        <f t="shared" si="1"/>
        <v>559119960</v>
      </c>
      <c r="N29" s="44">
        <f t="shared" si="0"/>
        <v>559119960</v>
      </c>
      <c r="O29" s="44">
        <f>559119960</f>
        <v>559119960</v>
      </c>
      <c r="P29" s="44"/>
      <c r="Q29" s="45"/>
      <c r="R29" s="44"/>
      <c r="S29" s="42" t="s">
        <v>38</v>
      </c>
      <c r="T29" s="42" t="s">
        <v>39</v>
      </c>
      <c r="U29" s="42" t="s">
        <v>52</v>
      </c>
      <c r="V29" s="42" t="s">
        <v>118</v>
      </c>
      <c r="W29" s="42" t="s">
        <v>42</v>
      </c>
      <c r="X29" s="42" t="s">
        <v>43</v>
      </c>
      <c r="Y29" s="42" t="s">
        <v>44</v>
      </c>
      <c r="Z29" s="46" t="s">
        <v>45</v>
      </c>
      <c r="AA29" s="84" t="s">
        <v>46</v>
      </c>
    </row>
    <row r="30" spans="1:27" ht="144.75" customHeight="1" x14ac:dyDescent="0.25">
      <c r="A30" s="17" t="s">
        <v>29</v>
      </c>
      <c r="B30" s="24" t="s">
        <v>132</v>
      </c>
      <c r="C30" s="19" t="s">
        <v>133</v>
      </c>
      <c r="D30" s="49">
        <v>44284</v>
      </c>
      <c r="E30" s="20">
        <v>43889</v>
      </c>
      <c r="F30" s="21" t="s">
        <v>115</v>
      </c>
      <c r="G30" s="21" t="s">
        <v>115</v>
      </c>
      <c r="H30" s="53">
        <v>8</v>
      </c>
      <c r="I30" s="29" t="s">
        <v>34</v>
      </c>
      <c r="J30" s="24" t="s">
        <v>72</v>
      </c>
      <c r="K30" s="52" t="s">
        <v>134</v>
      </c>
      <c r="L30" s="18" t="s">
        <v>135</v>
      </c>
      <c r="M30" s="26">
        <f t="shared" si="1"/>
        <v>259314777</v>
      </c>
      <c r="N30" s="26">
        <f t="shared" si="0"/>
        <v>259314777</v>
      </c>
      <c r="O30" s="26">
        <v>259314777</v>
      </c>
      <c r="P30" s="26"/>
      <c r="Q30" s="71"/>
      <c r="R30" s="26"/>
      <c r="S30" s="29" t="s">
        <v>38</v>
      </c>
      <c r="T30" s="29" t="s">
        <v>39</v>
      </c>
      <c r="U30" s="29" t="s">
        <v>40</v>
      </c>
      <c r="V30" s="29" t="s">
        <v>136</v>
      </c>
      <c r="W30" s="29" t="s">
        <v>42</v>
      </c>
      <c r="X30" s="29" t="s">
        <v>43</v>
      </c>
      <c r="Y30" s="29" t="s">
        <v>44</v>
      </c>
      <c r="Z30" s="30" t="s">
        <v>45</v>
      </c>
      <c r="AA30" s="85" t="s">
        <v>46</v>
      </c>
    </row>
    <row r="31" spans="1:27" ht="144.75" customHeight="1" x14ac:dyDescent="0.25">
      <c r="A31" s="17" t="s">
        <v>107</v>
      </c>
      <c r="B31" s="24">
        <v>80111500</v>
      </c>
      <c r="C31" s="19" t="s">
        <v>137</v>
      </c>
      <c r="D31" s="19"/>
      <c r="E31" s="20">
        <v>43889</v>
      </c>
      <c r="F31" s="78" t="s">
        <v>33</v>
      </c>
      <c r="G31" s="78" t="s">
        <v>50</v>
      </c>
      <c r="H31" s="53">
        <v>5</v>
      </c>
      <c r="I31" s="23" t="s">
        <v>34</v>
      </c>
      <c r="J31" s="24" t="s">
        <v>35</v>
      </c>
      <c r="K31" s="52" t="s">
        <v>138</v>
      </c>
      <c r="L31" s="18" t="s">
        <v>37</v>
      </c>
      <c r="M31" s="26">
        <f t="shared" si="1"/>
        <v>635159288</v>
      </c>
      <c r="N31" s="26">
        <f t="shared" si="0"/>
        <v>635159288</v>
      </c>
      <c r="O31" s="26"/>
      <c r="P31" s="26">
        <f>500000000+135159288</f>
        <v>635159288</v>
      </c>
      <c r="Q31" s="26"/>
      <c r="R31" s="26"/>
      <c r="S31" s="29" t="s">
        <v>38</v>
      </c>
      <c r="T31" s="29" t="s">
        <v>39</v>
      </c>
      <c r="U31" s="29" t="s">
        <v>40</v>
      </c>
      <c r="V31" s="29" t="s">
        <v>139</v>
      </c>
      <c r="W31" s="29" t="s">
        <v>42</v>
      </c>
      <c r="X31" s="29" t="s">
        <v>43</v>
      </c>
      <c r="Y31" s="29" t="s">
        <v>44</v>
      </c>
      <c r="Z31" s="30" t="s">
        <v>45</v>
      </c>
      <c r="AA31" s="31" t="s">
        <v>46</v>
      </c>
    </row>
    <row r="32" spans="1:27" ht="71.25" customHeight="1" x14ac:dyDescent="0.25">
      <c r="A32" s="17" t="s">
        <v>140</v>
      </c>
      <c r="B32" s="24">
        <v>80111500</v>
      </c>
      <c r="C32" s="19" t="s">
        <v>141</v>
      </c>
      <c r="D32" s="19"/>
      <c r="E32" s="20"/>
      <c r="F32" s="29"/>
      <c r="G32" s="29"/>
      <c r="H32" s="53"/>
      <c r="I32" s="29"/>
      <c r="J32" s="24" t="s">
        <v>35</v>
      </c>
      <c r="K32" s="52" t="s">
        <v>142</v>
      </c>
      <c r="L32" s="18" t="s">
        <v>37</v>
      </c>
      <c r="M32" s="26">
        <f>+N32+Q32+R32</f>
        <v>1450247103</v>
      </c>
      <c r="N32" s="26">
        <f t="shared" si="0"/>
        <v>1450247103</v>
      </c>
      <c r="O32" s="26">
        <v>0</v>
      </c>
      <c r="P32" s="26">
        <f>1674983232-224736129</f>
        <v>1450247103</v>
      </c>
      <c r="Q32" s="26"/>
      <c r="R32" s="26"/>
      <c r="S32" s="29" t="s">
        <v>38</v>
      </c>
      <c r="T32" s="29" t="s">
        <v>39</v>
      </c>
      <c r="U32" s="29" t="s">
        <v>40</v>
      </c>
      <c r="V32" s="29" t="s">
        <v>143</v>
      </c>
      <c r="W32" s="29" t="s">
        <v>42</v>
      </c>
      <c r="X32" s="29" t="s">
        <v>43</v>
      </c>
      <c r="Y32" s="29" t="s">
        <v>44</v>
      </c>
      <c r="Z32" s="30" t="s">
        <v>45</v>
      </c>
      <c r="AA32" s="31" t="s">
        <v>46</v>
      </c>
    </row>
    <row r="33" spans="1:27" ht="129.75" customHeight="1" x14ac:dyDescent="0.25">
      <c r="A33" s="17" t="s">
        <v>144</v>
      </c>
      <c r="B33" s="18">
        <v>80111500</v>
      </c>
      <c r="C33" s="19" t="s">
        <v>145</v>
      </c>
      <c r="D33" s="19"/>
      <c r="E33" s="20"/>
      <c r="F33" s="29"/>
      <c r="G33" s="29"/>
      <c r="H33" s="53"/>
      <c r="I33" s="29"/>
      <c r="J33" s="24" t="s">
        <v>35</v>
      </c>
      <c r="K33" s="52" t="s">
        <v>146</v>
      </c>
      <c r="L33" s="24" t="s">
        <v>147</v>
      </c>
      <c r="M33" s="26">
        <f t="shared" si="1"/>
        <v>42199937550</v>
      </c>
      <c r="N33" s="26">
        <f t="shared" si="0"/>
        <v>42199937550</v>
      </c>
      <c r="O33" s="26">
        <f>14890994008-799467706+352369056</f>
        <v>14443895358</v>
      </c>
      <c r="P33" s="26">
        <f>28211468603-955018527+499592116</f>
        <v>27756042192</v>
      </c>
      <c r="Q33" s="26"/>
      <c r="R33" s="26"/>
      <c r="S33" s="29" t="s">
        <v>38</v>
      </c>
      <c r="T33" s="29" t="s">
        <v>39</v>
      </c>
      <c r="U33" s="29" t="s">
        <v>40</v>
      </c>
      <c r="V33" s="29" t="s">
        <v>148</v>
      </c>
      <c r="W33" s="29" t="s">
        <v>42</v>
      </c>
      <c r="X33" s="29" t="s">
        <v>43</v>
      </c>
      <c r="Y33" s="29" t="s">
        <v>44</v>
      </c>
      <c r="Z33" s="30" t="s">
        <v>45</v>
      </c>
      <c r="AA33" s="31" t="s">
        <v>46</v>
      </c>
    </row>
    <row r="34" spans="1:27" ht="141" customHeight="1" x14ac:dyDescent="0.25">
      <c r="A34" s="17" t="s">
        <v>140</v>
      </c>
      <c r="B34" s="24" t="s">
        <v>149</v>
      </c>
      <c r="C34" s="19" t="s">
        <v>150</v>
      </c>
      <c r="D34" s="19"/>
      <c r="E34" s="20">
        <v>43889</v>
      </c>
      <c r="F34" s="29" t="s">
        <v>33</v>
      </c>
      <c r="G34" s="54" t="s">
        <v>50</v>
      </c>
      <c r="H34" s="53">
        <v>8</v>
      </c>
      <c r="I34" s="29" t="s">
        <v>34</v>
      </c>
      <c r="J34" s="24" t="s">
        <v>151</v>
      </c>
      <c r="K34" s="52" t="s">
        <v>152</v>
      </c>
      <c r="L34" s="18" t="s">
        <v>153</v>
      </c>
      <c r="M34" s="26">
        <f t="shared" si="1"/>
        <v>830000000</v>
      </c>
      <c r="N34" s="26">
        <f t="shared" si="0"/>
        <v>830000000</v>
      </c>
      <c r="O34" s="26">
        <f>450000000+200000000-78204948-146795052</f>
        <v>425000000</v>
      </c>
      <c r="P34" s="26">
        <f>1210000000+160000000+200000000-(5329065+9052345)-274729861-875888729</f>
        <v>405000000</v>
      </c>
      <c r="Q34" s="26"/>
      <c r="R34" s="26"/>
      <c r="S34" s="29" t="s">
        <v>38</v>
      </c>
      <c r="T34" s="29" t="s">
        <v>39</v>
      </c>
      <c r="U34" s="29" t="s">
        <v>40</v>
      </c>
      <c r="V34" s="29" t="s">
        <v>143</v>
      </c>
      <c r="W34" s="29" t="s">
        <v>42</v>
      </c>
      <c r="X34" s="29" t="s">
        <v>43</v>
      </c>
      <c r="Y34" s="29" t="s">
        <v>44</v>
      </c>
      <c r="Z34" s="30" t="s">
        <v>154</v>
      </c>
      <c r="AA34" s="31" t="s">
        <v>46</v>
      </c>
    </row>
    <row r="35" spans="1:27" ht="51" customHeight="1" x14ac:dyDescent="0.25">
      <c r="A35" s="17" t="s">
        <v>155</v>
      </c>
      <c r="B35" s="18">
        <v>80111500</v>
      </c>
      <c r="C35" s="86" t="s">
        <v>156</v>
      </c>
      <c r="D35" s="86"/>
      <c r="E35" s="20"/>
      <c r="F35" s="29" t="s">
        <v>157</v>
      </c>
      <c r="G35" s="29" t="s">
        <v>157</v>
      </c>
      <c r="H35" s="53">
        <v>12</v>
      </c>
      <c r="I35" s="29" t="s">
        <v>34</v>
      </c>
      <c r="J35" s="24" t="s">
        <v>35</v>
      </c>
      <c r="K35" s="86" t="s">
        <v>158</v>
      </c>
      <c r="L35" s="18" t="s">
        <v>37</v>
      </c>
      <c r="M35" s="26">
        <f t="shared" si="1"/>
        <v>3072246668</v>
      </c>
      <c r="N35" s="26">
        <f t="shared" si="0"/>
        <v>3072246668</v>
      </c>
      <c r="O35" s="26">
        <f>5848352092-57973271-61147717-2740320-36910000-4313830381-36910000</f>
        <v>1338840403</v>
      </c>
      <c r="P35" s="26">
        <f>4125719100+502428853-2814776811-79964877</f>
        <v>1733406265</v>
      </c>
      <c r="Q35" s="26"/>
      <c r="R35" s="26"/>
      <c r="S35" s="29" t="s">
        <v>38</v>
      </c>
      <c r="T35" s="29" t="s">
        <v>39</v>
      </c>
      <c r="U35" s="29" t="s">
        <v>40</v>
      </c>
      <c r="V35" s="29" t="s">
        <v>148</v>
      </c>
      <c r="W35" s="29" t="s">
        <v>42</v>
      </c>
      <c r="X35" s="29" t="s">
        <v>43</v>
      </c>
      <c r="Y35" s="29" t="s">
        <v>44</v>
      </c>
      <c r="Z35" s="30" t="s">
        <v>154</v>
      </c>
      <c r="AA35" s="31" t="s">
        <v>46</v>
      </c>
    </row>
    <row r="36" spans="1:27" ht="85.5" customHeight="1" x14ac:dyDescent="0.25">
      <c r="A36" s="17" t="s">
        <v>159</v>
      </c>
      <c r="B36" s="18" t="s">
        <v>160</v>
      </c>
      <c r="C36" s="19" t="s">
        <v>161</v>
      </c>
      <c r="D36" s="49">
        <v>44150</v>
      </c>
      <c r="E36" s="20"/>
      <c r="F36" s="21" t="s">
        <v>157</v>
      </c>
      <c r="G36" s="21" t="s">
        <v>157</v>
      </c>
      <c r="H36" s="53">
        <v>12</v>
      </c>
      <c r="I36" s="87" t="s">
        <v>34</v>
      </c>
      <c r="J36" s="24" t="s">
        <v>55</v>
      </c>
      <c r="K36" s="29" t="s">
        <v>162</v>
      </c>
      <c r="L36" s="24" t="s">
        <v>163</v>
      </c>
      <c r="M36" s="26">
        <f t="shared" si="1"/>
        <v>6172217489</v>
      </c>
      <c r="N36" s="26">
        <f t="shared" si="0"/>
        <v>6172217489</v>
      </c>
      <c r="O36" s="26">
        <f>(697977588+4645071984)-157451069</f>
        <v>5185598503</v>
      </c>
      <c r="P36" s="26">
        <f>829167917+157451069</f>
        <v>986618986</v>
      </c>
      <c r="Q36" s="26"/>
      <c r="R36" s="26"/>
      <c r="S36" s="29" t="s">
        <v>38</v>
      </c>
      <c r="T36" s="29" t="s">
        <v>39</v>
      </c>
      <c r="U36" s="29" t="s">
        <v>57</v>
      </c>
      <c r="V36" s="29" t="s">
        <v>164</v>
      </c>
      <c r="W36" s="29" t="s">
        <v>42</v>
      </c>
      <c r="X36" s="29" t="s">
        <v>43</v>
      </c>
      <c r="Y36" s="29" t="s">
        <v>44</v>
      </c>
      <c r="Z36" s="30" t="s">
        <v>120</v>
      </c>
      <c r="AA36" s="31" t="s">
        <v>46</v>
      </c>
    </row>
    <row r="37" spans="1:27" ht="85.5" customHeight="1" x14ac:dyDescent="0.25">
      <c r="A37" s="34" t="s">
        <v>159</v>
      </c>
      <c r="B37" s="35" t="s">
        <v>160</v>
      </c>
      <c r="C37" s="36" t="s">
        <v>165</v>
      </c>
      <c r="D37" s="83" t="s">
        <v>166</v>
      </c>
      <c r="E37" s="80">
        <v>43983</v>
      </c>
      <c r="F37" s="39" t="s">
        <v>33</v>
      </c>
      <c r="G37" s="39" t="s">
        <v>50</v>
      </c>
      <c r="H37" s="81">
        <v>21</v>
      </c>
      <c r="I37" s="88" t="s">
        <v>34</v>
      </c>
      <c r="J37" s="42" t="s">
        <v>151</v>
      </c>
      <c r="K37" s="42" t="s">
        <v>162</v>
      </c>
      <c r="L37" s="43" t="s">
        <v>163</v>
      </c>
      <c r="M37" s="44">
        <f t="shared" si="1"/>
        <v>13012752610</v>
      </c>
      <c r="N37" s="44">
        <f t="shared" si="0"/>
        <v>873171049</v>
      </c>
      <c r="O37" s="44">
        <v>329531267</v>
      </c>
      <c r="P37" s="44">
        <v>543639782</v>
      </c>
      <c r="Q37" s="44">
        <v>7474344768</v>
      </c>
      <c r="R37" s="44">
        <v>4665236793</v>
      </c>
      <c r="S37" s="42" t="s">
        <v>98</v>
      </c>
      <c r="T37" s="42" t="s">
        <v>39</v>
      </c>
      <c r="U37" s="42" t="s">
        <v>52</v>
      </c>
      <c r="V37" s="42" t="s">
        <v>164</v>
      </c>
      <c r="W37" s="42" t="s">
        <v>42</v>
      </c>
      <c r="X37" s="42" t="s">
        <v>43</v>
      </c>
      <c r="Y37" s="42" t="s">
        <v>44</v>
      </c>
      <c r="Z37" s="46" t="s">
        <v>120</v>
      </c>
      <c r="AA37" s="47" t="s">
        <v>46</v>
      </c>
    </row>
    <row r="38" spans="1:27" ht="57" customHeight="1" x14ac:dyDescent="0.25">
      <c r="A38" s="17" t="s">
        <v>159</v>
      </c>
      <c r="B38" s="18">
        <v>92101501</v>
      </c>
      <c r="C38" s="19" t="s">
        <v>167</v>
      </c>
      <c r="D38" s="49">
        <v>44165</v>
      </c>
      <c r="E38" s="20"/>
      <c r="F38" s="21"/>
      <c r="G38" s="21"/>
      <c r="H38" s="53">
        <v>12</v>
      </c>
      <c r="I38" s="87" t="s">
        <v>34</v>
      </c>
      <c r="J38" s="24" t="s">
        <v>55</v>
      </c>
      <c r="K38" s="29" t="s">
        <v>168</v>
      </c>
      <c r="L38" s="24" t="s">
        <v>37</v>
      </c>
      <c r="M38" s="26">
        <f t="shared" si="1"/>
        <v>1462289151</v>
      </c>
      <c r="N38" s="26">
        <f t="shared" si="0"/>
        <v>1462289151</v>
      </c>
      <c r="O38" s="26">
        <v>784531275</v>
      </c>
      <c r="P38" s="26">
        <v>677757876</v>
      </c>
      <c r="Q38" s="26"/>
      <c r="R38" s="26"/>
      <c r="S38" s="29" t="s">
        <v>38</v>
      </c>
      <c r="T38" s="29" t="s">
        <v>39</v>
      </c>
      <c r="U38" s="29" t="s">
        <v>57</v>
      </c>
      <c r="V38" s="29" t="s">
        <v>164</v>
      </c>
      <c r="W38" s="29" t="s">
        <v>42</v>
      </c>
      <c r="X38" s="29" t="s">
        <v>43</v>
      </c>
      <c r="Y38" s="29" t="s">
        <v>44</v>
      </c>
      <c r="Z38" s="30" t="s">
        <v>67</v>
      </c>
      <c r="AA38" s="31" t="s">
        <v>46</v>
      </c>
    </row>
    <row r="39" spans="1:27" ht="42.75" customHeight="1" x14ac:dyDescent="0.25">
      <c r="A39" s="34" t="s">
        <v>159</v>
      </c>
      <c r="B39" s="35">
        <v>92101502</v>
      </c>
      <c r="C39" s="36" t="s">
        <v>169</v>
      </c>
      <c r="D39" s="36" t="s">
        <v>170</v>
      </c>
      <c r="E39" s="80">
        <v>43983</v>
      </c>
      <c r="F39" s="39" t="s">
        <v>33</v>
      </c>
      <c r="G39" s="39" t="s">
        <v>50</v>
      </c>
      <c r="H39" s="81"/>
      <c r="I39" s="88" t="s">
        <v>34</v>
      </c>
      <c r="J39" s="36" t="s">
        <v>60</v>
      </c>
      <c r="K39" s="42" t="s">
        <v>168</v>
      </c>
      <c r="L39" s="43" t="s">
        <v>117</v>
      </c>
      <c r="M39" s="44">
        <f t="shared" si="1"/>
        <v>1659148168</v>
      </c>
      <c r="N39" s="44">
        <f t="shared" si="0"/>
        <v>134561896</v>
      </c>
      <c r="O39" s="44">
        <v>54710174</v>
      </c>
      <c r="P39" s="44">
        <v>79851722</v>
      </c>
      <c r="Q39" s="44">
        <v>1524586272</v>
      </c>
      <c r="R39" s="44"/>
      <c r="S39" s="42" t="s">
        <v>98</v>
      </c>
      <c r="T39" s="42" t="s">
        <v>39</v>
      </c>
      <c r="U39" s="42" t="s">
        <v>52</v>
      </c>
      <c r="V39" s="42" t="s">
        <v>164</v>
      </c>
      <c r="W39" s="42" t="s">
        <v>42</v>
      </c>
      <c r="X39" s="42" t="s">
        <v>43</v>
      </c>
      <c r="Y39" s="42" t="s">
        <v>44</v>
      </c>
      <c r="Z39" s="46" t="s">
        <v>171</v>
      </c>
      <c r="AA39" s="47" t="s">
        <v>46</v>
      </c>
    </row>
    <row r="40" spans="1:27" s="6" customFormat="1" ht="42.75" customHeight="1" x14ac:dyDescent="0.25">
      <c r="A40" s="17" t="s">
        <v>172</v>
      </c>
      <c r="B40" s="18">
        <v>81112006</v>
      </c>
      <c r="C40" s="19" t="s">
        <v>173</v>
      </c>
      <c r="D40" s="49">
        <v>44074</v>
      </c>
      <c r="E40" s="20"/>
      <c r="F40" s="21"/>
      <c r="G40" s="21"/>
      <c r="H40" s="53"/>
      <c r="I40" s="23"/>
      <c r="J40" s="24" t="s">
        <v>55</v>
      </c>
      <c r="K40" s="24" t="s">
        <v>174</v>
      </c>
      <c r="L40" s="89" t="s">
        <v>37</v>
      </c>
      <c r="M40" s="26">
        <f t="shared" si="1"/>
        <v>911090463</v>
      </c>
      <c r="N40" s="26">
        <f t="shared" si="0"/>
        <v>911090463</v>
      </c>
      <c r="O40" s="26">
        <f>ROUND((618909239+297032146)*0.65,0)-3153099</f>
        <v>592208801</v>
      </c>
      <c r="P40" s="26">
        <f>ROUND((618909239+297032146)*0.35,0)-1697823</f>
        <v>318881662</v>
      </c>
      <c r="Q40" s="26"/>
      <c r="R40" s="26"/>
      <c r="S40" s="29" t="s">
        <v>38</v>
      </c>
      <c r="T40" s="29" t="s">
        <v>39</v>
      </c>
      <c r="U40" s="29" t="s">
        <v>57</v>
      </c>
      <c r="V40" s="29" t="s">
        <v>175</v>
      </c>
      <c r="W40" s="29" t="s">
        <v>176</v>
      </c>
      <c r="X40" s="29" t="s">
        <v>43</v>
      </c>
      <c r="Y40" s="29" t="s">
        <v>44</v>
      </c>
      <c r="Z40" s="30" t="s">
        <v>177</v>
      </c>
      <c r="AA40" s="85" t="s">
        <v>46</v>
      </c>
    </row>
    <row r="41" spans="1:27" s="6" customFormat="1" ht="57" customHeight="1" x14ac:dyDescent="0.25">
      <c r="A41" s="17" t="s">
        <v>172</v>
      </c>
      <c r="B41" s="18">
        <v>81112006</v>
      </c>
      <c r="C41" s="90" t="s">
        <v>178</v>
      </c>
      <c r="D41" s="49"/>
      <c r="E41" s="20">
        <v>43921</v>
      </c>
      <c r="F41" s="21" t="s">
        <v>91</v>
      </c>
      <c r="G41" s="21" t="s">
        <v>91</v>
      </c>
      <c r="H41" s="53">
        <v>24</v>
      </c>
      <c r="I41" s="23" t="s">
        <v>34</v>
      </c>
      <c r="J41" s="19" t="s">
        <v>179</v>
      </c>
      <c r="K41" s="24" t="s">
        <v>174</v>
      </c>
      <c r="L41" s="89" t="s">
        <v>37</v>
      </c>
      <c r="M41" s="26">
        <f t="shared" si="1"/>
        <v>1741498993</v>
      </c>
      <c r="N41" s="26">
        <f t="shared" si="0"/>
        <v>302869390</v>
      </c>
      <c r="O41" s="26">
        <f>322818686+866863335-992816917</f>
        <v>196865104</v>
      </c>
      <c r="P41" s="26">
        <f>173825446+466772566-534593726</f>
        <v>106004286</v>
      </c>
      <c r="Q41" s="91">
        <f>272582451+636025719</f>
        <v>908608170</v>
      </c>
      <c r="R41" s="91">
        <v>530021433</v>
      </c>
      <c r="S41" s="29" t="s">
        <v>98</v>
      </c>
      <c r="T41" s="29" t="s">
        <v>180</v>
      </c>
      <c r="U41" s="29" t="s">
        <v>40</v>
      </c>
      <c r="V41" s="29" t="s">
        <v>175</v>
      </c>
      <c r="W41" s="29" t="s">
        <v>176</v>
      </c>
      <c r="X41" s="29" t="s">
        <v>43</v>
      </c>
      <c r="Y41" s="29" t="s">
        <v>44</v>
      </c>
      <c r="Z41" s="30" t="s">
        <v>177</v>
      </c>
      <c r="AA41" s="85" t="s">
        <v>46</v>
      </c>
    </row>
    <row r="42" spans="1:27" s="6" customFormat="1" ht="57" customHeight="1" x14ac:dyDescent="0.25">
      <c r="A42" s="17" t="s">
        <v>172</v>
      </c>
      <c r="B42" s="18">
        <v>81112007</v>
      </c>
      <c r="C42" s="90" t="s">
        <v>181</v>
      </c>
      <c r="D42" s="49"/>
      <c r="E42" s="20">
        <v>44074</v>
      </c>
      <c r="F42" s="21" t="s">
        <v>50</v>
      </c>
      <c r="G42" s="21" t="s">
        <v>50</v>
      </c>
      <c r="H42" s="53"/>
      <c r="I42" s="23"/>
      <c r="J42" s="19" t="s">
        <v>72</v>
      </c>
      <c r="K42" s="24" t="s">
        <v>174</v>
      </c>
      <c r="L42" s="89" t="s">
        <v>117</v>
      </c>
      <c r="M42" s="26">
        <f t="shared" si="1"/>
        <v>224595050</v>
      </c>
      <c r="N42" s="26">
        <f t="shared" si="0"/>
        <v>224595050</v>
      </c>
      <c r="O42" s="26">
        <f>322818686+866863335-196865104-925438402</f>
        <v>67378515</v>
      </c>
      <c r="P42" s="26">
        <f>173825446+466772566-106004286-377377191</f>
        <v>157216535</v>
      </c>
      <c r="Q42" s="26"/>
      <c r="R42" s="26"/>
      <c r="S42" s="29" t="s">
        <v>38</v>
      </c>
      <c r="T42" s="29" t="s">
        <v>39</v>
      </c>
      <c r="U42" s="29" t="s">
        <v>40</v>
      </c>
      <c r="V42" s="29" t="s">
        <v>175</v>
      </c>
      <c r="W42" s="29" t="s">
        <v>176</v>
      </c>
      <c r="X42" s="29" t="s">
        <v>43</v>
      </c>
      <c r="Y42" s="29" t="s">
        <v>44</v>
      </c>
      <c r="Z42" s="30" t="s">
        <v>182</v>
      </c>
      <c r="AA42" s="85" t="s">
        <v>46</v>
      </c>
    </row>
    <row r="43" spans="1:27" s="6" customFormat="1" ht="57" customHeight="1" x14ac:dyDescent="0.25">
      <c r="A43" s="55" t="s">
        <v>172</v>
      </c>
      <c r="B43" s="56">
        <v>81112006</v>
      </c>
      <c r="C43" s="92" t="s">
        <v>183</v>
      </c>
      <c r="D43" s="93"/>
      <c r="E43" s="58"/>
      <c r="F43" s="76"/>
      <c r="G43" s="76"/>
      <c r="H43" s="67"/>
      <c r="I43" s="61"/>
      <c r="J43" s="57"/>
      <c r="K43" s="62" t="s">
        <v>174</v>
      </c>
      <c r="L43" s="94" t="s">
        <v>37</v>
      </c>
      <c r="M43" s="64">
        <f>+N43+Q43+R43</f>
        <v>697174970</v>
      </c>
      <c r="N43" s="64">
        <f>+O43+P43</f>
        <v>697174970</v>
      </c>
      <c r="O43" s="64">
        <f>322818686+866863335-196865104-7175700-67378515-231780470-92480640</f>
        <v>594001592</v>
      </c>
      <c r="P43" s="64">
        <f>173825446+466772566-106004286-16743300-157216535-257460513</f>
        <v>103173378</v>
      </c>
      <c r="Q43" s="64"/>
      <c r="R43" s="64"/>
      <c r="S43" s="33" t="s">
        <v>98</v>
      </c>
      <c r="T43" s="33" t="s">
        <v>180</v>
      </c>
      <c r="U43" s="33" t="s">
        <v>75</v>
      </c>
      <c r="V43" s="33" t="s">
        <v>175</v>
      </c>
      <c r="W43" s="33" t="s">
        <v>176</v>
      </c>
      <c r="X43" s="33" t="s">
        <v>43</v>
      </c>
      <c r="Y43" s="33" t="s">
        <v>44</v>
      </c>
      <c r="Z43" s="48" t="s">
        <v>177</v>
      </c>
      <c r="AA43" s="95" t="s">
        <v>46</v>
      </c>
    </row>
    <row r="44" spans="1:27" s="6" customFormat="1" ht="42.75" customHeight="1" x14ac:dyDescent="0.25">
      <c r="A44" s="17" t="s">
        <v>172</v>
      </c>
      <c r="B44" s="18">
        <v>81112006</v>
      </c>
      <c r="C44" s="19" t="s">
        <v>184</v>
      </c>
      <c r="D44" s="49">
        <v>44064</v>
      </c>
      <c r="E44" s="20"/>
      <c r="F44" s="21"/>
      <c r="G44" s="21"/>
      <c r="H44" s="53"/>
      <c r="I44" s="23"/>
      <c r="J44" s="24" t="s">
        <v>55</v>
      </c>
      <c r="K44" s="24" t="s">
        <v>174</v>
      </c>
      <c r="L44" s="89" t="s">
        <v>37</v>
      </c>
      <c r="M44" s="26">
        <f t="shared" si="1"/>
        <v>490746490</v>
      </c>
      <c r="N44" s="26">
        <f t="shared" si="0"/>
        <v>490746490</v>
      </c>
      <c r="O44" s="26">
        <f>+ROUND((487894288)*0.65,0)+1853937-9</f>
        <v>318985215</v>
      </c>
      <c r="P44" s="26">
        <f>+ROUND((487894288)*0.35,0)+998274</f>
        <v>171761275</v>
      </c>
      <c r="Q44" s="26"/>
      <c r="R44" s="26"/>
      <c r="S44" s="29" t="s">
        <v>38</v>
      </c>
      <c r="T44" s="29" t="s">
        <v>39</v>
      </c>
      <c r="U44" s="29" t="s">
        <v>57</v>
      </c>
      <c r="V44" s="29" t="s">
        <v>175</v>
      </c>
      <c r="W44" s="29" t="s">
        <v>176</v>
      </c>
      <c r="X44" s="29" t="s">
        <v>43</v>
      </c>
      <c r="Y44" s="29" t="s">
        <v>44</v>
      </c>
      <c r="Z44" s="30" t="s">
        <v>177</v>
      </c>
      <c r="AA44" s="85" t="s">
        <v>46</v>
      </c>
    </row>
    <row r="45" spans="1:27" s="6" customFormat="1" ht="42.75" customHeight="1" x14ac:dyDescent="0.25">
      <c r="A45" s="17" t="s">
        <v>172</v>
      </c>
      <c r="B45" s="35">
        <v>81112006</v>
      </c>
      <c r="C45" s="19" t="s">
        <v>185</v>
      </c>
      <c r="D45" s="49"/>
      <c r="E45" s="20">
        <v>44043</v>
      </c>
      <c r="F45" s="21"/>
      <c r="G45" s="21"/>
      <c r="H45" s="53"/>
      <c r="I45" s="23"/>
      <c r="J45" s="24" t="s">
        <v>72</v>
      </c>
      <c r="K45" s="24" t="s">
        <v>174</v>
      </c>
      <c r="L45" s="89" t="s">
        <v>37</v>
      </c>
      <c r="M45" s="26">
        <f>+N45+Q45+R45</f>
        <v>264547789</v>
      </c>
      <c r="N45" s="26">
        <f t="shared" si="0"/>
        <v>264547789</v>
      </c>
      <c r="O45" s="26">
        <f>78366063</f>
        <v>78366063</v>
      </c>
      <c r="P45" s="26">
        <v>186181726</v>
      </c>
      <c r="Q45" s="26"/>
      <c r="R45" s="26"/>
      <c r="S45" s="29" t="s">
        <v>38</v>
      </c>
      <c r="T45" s="29" t="s">
        <v>39</v>
      </c>
      <c r="U45" s="29" t="s">
        <v>40</v>
      </c>
      <c r="V45" s="29" t="s">
        <v>175</v>
      </c>
      <c r="W45" s="29" t="s">
        <v>176</v>
      </c>
      <c r="X45" s="29" t="s">
        <v>43</v>
      </c>
      <c r="Y45" s="29" t="s">
        <v>44</v>
      </c>
      <c r="Z45" s="30" t="s">
        <v>177</v>
      </c>
      <c r="AA45" s="85" t="s">
        <v>46</v>
      </c>
    </row>
    <row r="46" spans="1:27" s="6" customFormat="1" ht="42.75" customHeight="1" x14ac:dyDescent="0.25">
      <c r="A46" s="17" t="s">
        <v>172</v>
      </c>
      <c r="B46" s="18">
        <v>81112006</v>
      </c>
      <c r="C46" s="19" t="s">
        <v>186</v>
      </c>
      <c r="D46" s="96"/>
      <c r="E46" s="68"/>
      <c r="F46" s="21"/>
      <c r="G46" s="21"/>
      <c r="H46" s="53"/>
      <c r="I46" s="23"/>
      <c r="J46" s="19" t="s">
        <v>72</v>
      </c>
      <c r="K46" s="24" t="s">
        <v>174</v>
      </c>
      <c r="L46" s="89" t="s">
        <v>37</v>
      </c>
      <c r="M46" s="26">
        <f>+N46+Q46+R46</f>
        <v>23919000</v>
      </c>
      <c r="N46" s="71">
        <f>+O46+P46</f>
        <v>23919000</v>
      </c>
      <c r="O46" s="26">
        <v>7175700</v>
      </c>
      <c r="P46" s="26">
        <v>16743299.999999998</v>
      </c>
      <c r="Q46" s="71"/>
      <c r="R46" s="26"/>
      <c r="S46" s="29" t="s">
        <v>38</v>
      </c>
      <c r="T46" s="29" t="s">
        <v>39</v>
      </c>
      <c r="U46" s="29" t="s">
        <v>40</v>
      </c>
      <c r="V46" s="29" t="s">
        <v>175</v>
      </c>
      <c r="W46" s="29" t="s">
        <v>176</v>
      </c>
      <c r="X46" s="29" t="s">
        <v>43</v>
      </c>
      <c r="Y46" s="29" t="s">
        <v>44</v>
      </c>
      <c r="Z46" s="30" t="s">
        <v>177</v>
      </c>
      <c r="AA46" s="85" t="s">
        <v>46</v>
      </c>
    </row>
    <row r="47" spans="1:27" s="6" customFormat="1" ht="60" customHeight="1" x14ac:dyDescent="0.25">
      <c r="A47" s="55" t="s">
        <v>172</v>
      </c>
      <c r="B47" s="56">
        <v>81112006</v>
      </c>
      <c r="C47" s="97" t="s">
        <v>187</v>
      </c>
      <c r="D47" s="93"/>
      <c r="E47" s="58">
        <v>44104</v>
      </c>
      <c r="F47" s="98" t="s">
        <v>71</v>
      </c>
      <c r="G47" s="76" t="s">
        <v>71</v>
      </c>
      <c r="H47" s="67">
        <v>20</v>
      </c>
      <c r="I47" s="61" t="s">
        <v>34</v>
      </c>
      <c r="J47" s="62" t="s">
        <v>179</v>
      </c>
      <c r="K47" s="62" t="s">
        <v>174</v>
      </c>
      <c r="L47" s="94" t="s">
        <v>37</v>
      </c>
      <c r="M47" s="99">
        <f t="shared" si="1"/>
        <v>7320685221</v>
      </c>
      <c r="N47" s="64">
        <f t="shared" si="0"/>
        <v>125634250</v>
      </c>
      <c r="O47" s="99">
        <f>38982000-1291725</f>
        <v>37690275</v>
      </c>
      <c r="P47" s="99">
        <f>91000000-3056025</f>
        <v>87943975</v>
      </c>
      <c r="Q47" s="64">
        <f>760190280+3784052439</f>
        <v>4544242719</v>
      </c>
      <c r="R47" s="64">
        <f>443444330+2207363922</f>
        <v>2650808252</v>
      </c>
      <c r="S47" s="33" t="s">
        <v>188</v>
      </c>
      <c r="T47" s="33" t="s">
        <v>180</v>
      </c>
      <c r="U47" s="33"/>
      <c r="V47" s="33" t="s">
        <v>175</v>
      </c>
      <c r="W47" s="33" t="s">
        <v>176</v>
      </c>
      <c r="X47" s="33" t="s">
        <v>43</v>
      </c>
      <c r="Y47" s="33" t="s">
        <v>44</v>
      </c>
      <c r="Z47" s="48" t="s">
        <v>177</v>
      </c>
      <c r="AA47" s="95" t="s">
        <v>46</v>
      </c>
    </row>
    <row r="48" spans="1:27" s="6" customFormat="1" ht="57" customHeight="1" x14ac:dyDescent="0.25">
      <c r="A48" s="17" t="s">
        <v>172</v>
      </c>
      <c r="B48" s="100">
        <v>43211500</v>
      </c>
      <c r="C48" s="19" t="s">
        <v>189</v>
      </c>
      <c r="D48" s="19"/>
      <c r="E48" s="20">
        <v>43875</v>
      </c>
      <c r="F48" s="29" t="s">
        <v>115</v>
      </c>
      <c r="G48" s="54" t="s">
        <v>91</v>
      </c>
      <c r="H48" s="53">
        <v>45</v>
      </c>
      <c r="I48" s="23" t="s">
        <v>190</v>
      </c>
      <c r="J48" s="19" t="s">
        <v>179</v>
      </c>
      <c r="K48" s="24" t="s">
        <v>191</v>
      </c>
      <c r="L48" s="24" t="s">
        <v>37</v>
      </c>
      <c r="M48" s="26">
        <f>+N48+Q48+R48</f>
        <v>267620408</v>
      </c>
      <c r="N48" s="26">
        <f t="shared" si="0"/>
        <v>267620408</v>
      </c>
      <c r="O48" s="89">
        <f>276250000-102296734</f>
        <v>173953266</v>
      </c>
      <c r="P48" s="26">
        <f>148750000-55082858</f>
        <v>93667142</v>
      </c>
      <c r="Q48" s="101"/>
      <c r="R48" s="101"/>
      <c r="S48" s="29" t="s">
        <v>38</v>
      </c>
      <c r="T48" s="29" t="s">
        <v>39</v>
      </c>
      <c r="U48" s="29" t="s">
        <v>40</v>
      </c>
      <c r="V48" s="29" t="s">
        <v>192</v>
      </c>
      <c r="W48" s="29" t="s">
        <v>176</v>
      </c>
      <c r="X48" s="29" t="s">
        <v>43</v>
      </c>
      <c r="Y48" s="29" t="s">
        <v>44</v>
      </c>
      <c r="Z48" s="30" t="s">
        <v>177</v>
      </c>
      <c r="AA48" s="85" t="s">
        <v>46</v>
      </c>
    </row>
    <row r="49" spans="1:27" s="6" customFormat="1" ht="57" customHeight="1" x14ac:dyDescent="0.25">
      <c r="A49" s="55" t="s">
        <v>172</v>
      </c>
      <c r="B49" s="102">
        <v>43211501</v>
      </c>
      <c r="C49" s="57" t="s">
        <v>193</v>
      </c>
      <c r="D49" s="57"/>
      <c r="E49" s="58"/>
      <c r="F49" s="33"/>
      <c r="G49" s="59"/>
      <c r="H49" s="67"/>
      <c r="I49" s="61"/>
      <c r="J49" s="57"/>
      <c r="K49" s="62" t="s">
        <v>191</v>
      </c>
      <c r="L49" s="62" t="s">
        <v>117</v>
      </c>
      <c r="M49" s="64">
        <f>+N49+Q49+R49</f>
        <v>55082858</v>
      </c>
      <c r="N49" s="64">
        <f t="shared" si="0"/>
        <v>55082858</v>
      </c>
      <c r="O49" s="94"/>
      <c r="P49" s="64">
        <f>148750001-93667143</f>
        <v>55082858</v>
      </c>
      <c r="Q49" s="103"/>
      <c r="R49" s="103"/>
      <c r="S49" s="104"/>
      <c r="T49" s="104"/>
      <c r="U49" s="33" t="s">
        <v>75</v>
      </c>
      <c r="V49" s="33" t="s">
        <v>192</v>
      </c>
      <c r="W49" s="33" t="s">
        <v>176</v>
      </c>
      <c r="X49" s="33" t="s">
        <v>43</v>
      </c>
      <c r="Y49" s="33" t="s">
        <v>44</v>
      </c>
      <c r="Z49" s="48" t="s">
        <v>182</v>
      </c>
      <c r="AA49" s="95" t="s">
        <v>46</v>
      </c>
    </row>
    <row r="50" spans="1:27" s="6" customFormat="1" ht="57" customHeight="1" x14ac:dyDescent="0.25">
      <c r="A50" s="17" t="s">
        <v>172</v>
      </c>
      <c r="B50" s="100">
        <v>43211500</v>
      </c>
      <c r="C50" s="19" t="s">
        <v>194</v>
      </c>
      <c r="D50" s="19"/>
      <c r="E50" s="20">
        <v>43875</v>
      </c>
      <c r="F50" s="29" t="s">
        <v>115</v>
      </c>
      <c r="G50" s="54" t="s">
        <v>91</v>
      </c>
      <c r="H50" s="53">
        <v>45</v>
      </c>
      <c r="I50" s="23" t="s">
        <v>190</v>
      </c>
      <c r="J50" s="19" t="s">
        <v>179</v>
      </c>
      <c r="K50" s="24" t="s">
        <v>191</v>
      </c>
      <c r="L50" s="24" t="s">
        <v>37</v>
      </c>
      <c r="M50" s="26">
        <f t="shared" si="1"/>
        <v>41890072</v>
      </c>
      <c r="N50" s="26">
        <f t="shared" si="0"/>
        <v>41890072</v>
      </c>
      <c r="O50" s="89">
        <f>34450000-7221453</f>
        <v>27228547</v>
      </c>
      <c r="P50" s="26">
        <f>18550000-3888475</f>
        <v>14661525</v>
      </c>
      <c r="Q50" s="71"/>
      <c r="R50" s="101"/>
      <c r="S50" s="29" t="s">
        <v>38</v>
      </c>
      <c r="T50" s="29" t="s">
        <v>39</v>
      </c>
      <c r="U50" s="29" t="s">
        <v>40</v>
      </c>
      <c r="V50" s="29" t="s">
        <v>192</v>
      </c>
      <c r="W50" s="29" t="s">
        <v>176</v>
      </c>
      <c r="X50" s="29" t="s">
        <v>43</v>
      </c>
      <c r="Y50" s="29" t="s">
        <v>44</v>
      </c>
      <c r="Z50" s="30" t="s">
        <v>177</v>
      </c>
      <c r="AA50" s="85" t="s">
        <v>46</v>
      </c>
    </row>
    <row r="51" spans="1:27" s="6" customFormat="1" ht="57" customHeight="1" x14ac:dyDescent="0.25">
      <c r="A51" s="55" t="s">
        <v>172</v>
      </c>
      <c r="B51" s="102">
        <v>43211501</v>
      </c>
      <c r="C51" s="57" t="s">
        <v>195</v>
      </c>
      <c r="D51" s="57"/>
      <c r="E51" s="58"/>
      <c r="F51" s="33"/>
      <c r="G51" s="59"/>
      <c r="H51" s="67"/>
      <c r="I51" s="61"/>
      <c r="J51" s="57"/>
      <c r="K51" s="62" t="s">
        <v>191</v>
      </c>
      <c r="L51" s="62" t="s">
        <v>117</v>
      </c>
      <c r="M51" s="64">
        <f>+N51+Q51+R51</f>
        <v>3888475</v>
      </c>
      <c r="N51" s="64">
        <f t="shared" si="0"/>
        <v>3888475</v>
      </c>
      <c r="O51" s="94"/>
      <c r="P51" s="64">
        <f>18550001-14661526</f>
        <v>3888475</v>
      </c>
      <c r="Q51" s="75"/>
      <c r="R51" s="103"/>
      <c r="S51" s="33"/>
      <c r="T51" s="33"/>
      <c r="U51" s="33" t="s">
        <v>75</v>
      </c>
      <c r="V51" s="33" t="s">
        <v>192</v>
      </c>
      <c r="W51" s="33" t="s">
        <v>176</v>
      </c>
      <c r="X51" s="33" t="s">
        <v>43</v>
      </c>
      <c r="Y51" s="33" t="s">
        <v>44</v>
      </c>
      <c r="Z51" s="48" t="s">
        <v>182</v>
      </c>
      <c r="AA51" s="95" t="s">
        <v>46</v>
      </c>
    </row>
    <row r="52" spans="1:27" s="6" customFormat="1" ht="57" customHeight="1" x14ac:dyDescent="0.25">
      <c r="A52" s="17" t="s">
        <v>172</v>
      </c>
      <c r="B52" s="100">
        <v>43211500</v>
      </c>
      <c r="C52" s="19" t="s">
        <v>196</v>
      </c>
      <c r="D52" s="19"/>
      <c r="E52" s="20">
        <v>43875</v>
      </c>
      <c r="F52" s="29" t="s">
        <v>115</v>
      </c>
      <c r="G52" s="54" t="s">
        <v>91</v>
      </c>
      <c r="H52" s="53">
        <v>45</v>
      </c>
      <c r="I52" s="23" t="s">
        <v>190</v>
      </c>
      <c r="J52" s="19" t="s">
        <v>179</v>
      </c>
      <c r="K52" s="24" t="s">
        <v>191</v>
      </c>
      <c r="L52" s="24" t="s">
        <v>37</v>
      </c>
      <c r="M52" s="26">
        <f t="shared" si="1"/>
        <v>188597978</v>
      </c>
      <c r="N52" s="26">
        <f t="shared" si="0"/>
        <v>188597978</v>
      </c>
      <c r="O52" s="89">
        <f>149500000-26911314</f>
        <v>122588686</v>
      </c>
      <c r="P52" s="26">
        <f>80500000-14490708</f>
        <v>66009292</v>
      </c>
      <c r="Q52" s="71"/>
      <c r="R52" s="101"/>
      <c r="S52" s="29" t="s">
        <v>38</v>
      </c>
      <c r="T52" s="29" t="s">
        <v>39</v>
      </c>
      <c r="U52" s="29" t="s">
        <v>40</v>
      </c>
      <c r="V52" s="29" t="s">
        <v>192</v>
      </c>
      <c r="W52" s="29" t="s">
        <v>176</v>
      </c>
      <c r="X52" s="29" t="s">
        <v>43</v>
      </c>
      <c r="Y52" s="29" t="s">
        <v>44</v>
      </c>
      <c r="Z52" s="30" t="s">
        <v>177</v>
      </c>
      <c r="AA52" s="85" t="s">
        <v>46</v>
      </c>
    </row>
    <row r="53" spans="1:27" s="6" customFormat="1" ht="57" customHeight="1" x14ac:dyDescent="0.25">
      <c r="A53" s="55" t="s">
        <v>172</v>
      </c>
      <c r="B53" s="102">
        <v>43211501</v>
      </c>
      <c r="C53" s="57" t="s">
        <v>197</v>
      </c>
      <c r="D53" s="57"/>
      <c r="E53" s="58"/>
      <c r="F53" s="33"/>
      <c r="G53" s="59"/>
      <c r="H53" s="67"/>
      <c r="I53" s="61"/>
      <c r="J53" s="57"/>
      <c r="K53" s="62" t="s">
        <v>191</v>
      </c>
      <c r="L53" s="62" t="s">
        <v>117</v>
      </c>
      <c r="M53" s="64">
        <f>+N53+Q53+R53</f>
        <v>14490708</v>
      </c>
      <c r="N53" s="64">
        <f t="shared" si="0"/>
        <v>14490708</v>
      </c>
      <c r="O53" s="94"/>
      <c r="P53" s="64">
        <f>80500000-66009292</f>
        <v>14490708</v>
      </c>
      <c r="Q53" s="75"/>
      <c r="R53" s="103"/>
      <c r="S53" s="33"/>
      <c r="T53" s="33"/>
      <c r="U53" s="33" t="s">
        <v>75</v>
      </c>
      <c r="V53" s="33" t="s">
        <v>192</v>
      </c>
      <c r="W53" s="33" t="s">
        <v>176</v>
      </c>
      <c r="X53" s="33" t="s">
        <v>43</v>
      </c>
      <c r="Y53" s="33" t="s">
        <v>44</v>
      </c>
      <c r="Z53" s="48" t="s">
        <v>182</v>
      </c>
      <c r="AA53" s="95" t="s">
        <v>46</v>
      </c>
    </row>
    <row r="54" spans="1:27" s="6" customFormat="1" ht="57" customHeight="1" x14ac:dyDescent="0.25">
      <c r="A54" s="17" t="s">
        <v>172</v>
      </c>
      <c r="B54" s="100">
        <v>43211711</v>
      </c>
      <c r="C54" s="19" t="s">
        <v>198</v>
      </c>
      <c r="D54" s="19"/>
      <c r="E54" s="20">
        <v>43889</v>
      </c>
      <c r="F54" s="105" t="s">
        <v>115</v>
      </c>
      <c r="G54" s="54" t="s">
        <v>91</v>
      </c>
      <c r="H54" s="106">
        <v>45</v>
      </c>
      <c r="I54" s="23" t="s">
        <v>190</v>
      </c>
      <c r="J54" s="19" t="s">
        <v>179</v>
      </c>
      <c r="K54" s="24" t="s">
        <v>191</v>
      </c>
      <c r="L54" s="24" t="s">
        <v>37</v>
      </c>
      <c r="M54" s="26">
        <f t="shared" si="1"/>
        <v>25210846</v>
      </c>
      <c r="N54" s="26">
        <f t="shared" si="0"/>
        <v>25210846</v>
      </c>
      <c r="O54" s="107">
        <f>26000000-9612949</f>
        <v>16387051</v>
      </c>
      <c r="P54" s="26">
        <f>14000000-5176205</f>
        <v>8823795</v>
      </c>
      <c r="Q54" s="101"/>
      <c r="R54" s="101"/>
      <c r="S54" s="29" t="s">
        <v>38</v>
      </c>
      <c r="T54" s="29" t="s">
        <v>39</v>
      </c>
      <c r="U54" s="29" t="s">
        <v>40</v>
      </c>
      <c r="V54" s="29" t="s">
        <v>192</v>
      </c>
      <c r="W54" s="29" t="s">
        <v>176</v>
      </c>
      <c r="X54" s="29" t="s">
        <v>43</v>
      </c>
      <c r="Y54" s="29" t="s">
        <v>44</v>
      </c>
      <c r="Z54" s="30" t="s">
        <v>177</v>
      </c>
      <c r="AA54" s="85" t="s">
        <v>46</v>
      </c>
    </row>
    <row r="55" spans="1:27" s="6" customFormat="1" ht="57" customHeight="1" x14ac:dyDescent="0.25">
      <c r="A55" s="55" t="s">
        <v>172</v>
      </c>
      <c r="B55" s="102">
        <v>43211712</v>
      </c>
      <c r="C55" s="57" t="s">
        <v>199</v>
      </c>
      <c r="D55" s="57"/>
      <c r="E55" s="58"/>
      <c r="F55" s="108"/>
      <c r="G55" s="59"/>
      <c r="H55" s="109"/>
      <c r="I55" s="61"/>
      <c r="J55" s="57"/>
      <c r="K55" s="62" t="s">
        <v>191</v>
      </c>
      <c r="L55" s="62" t="s">
        <v>117</v>
      </c>
      <c r="M55" s="64">
        <f>+N55+Q55+R55</f>
        <v>5176205</v>
      </c>
      <c r="N55" s="64">
        <f t="shared" si="0"/>
        <v>5176205</v>
      </c>
      <c r="O55" s="110"/>
      <c r="P55" s="64">
        <f>14000001-8823796</f>
        <v>5176205</v>
      </c>
      <c r="Q55" s="103"/>
      <c r="R55" s="103"/>
      <c r="S55" s="33"/>
      <c r="T55" s="33"/>
      <c r="U55" s="33" t="s">
        <v>75</v>
      </c>
      <c r="V55" s="33" t="s">
        <v>192</v>
      </c>
      <c r="W55" s="33" t="s">
        <v>176</v>
      </c>
      <c r="X55" s="33" t="s">
        <v>43</v>
      </c>
      <c r="Y55" s="33" t="s">
        <v>44</v>
      </c>
      <c r="Z55" s="48" t="s">
        <v>182</v>
      </c>
      <c r="AA55" s="95" t="s">
        <v>46</v>
      </c>
    </row>
    <row r="56" spans="1:27" s="6" customFormat="1" ht="57" customHeight="1" x14ac:dyDescent="0.25">
      <c r="A56" s="17" t="s">
        <v>172</v>
      </c>
      <c r="B56" s="100">
        <v>43212105</v>
      </c>
      <c r="C56" s="19" t="s">
        <v>200</v>
      </c>
      <c r="D56" s="19"/>
      <c r="E56" s="20">
        <v>43889</v>
      </c>
      <c r="F56" s="105" t="s">
        <v>115</v>
      </c>
      <c r="G56" s="54" t="s">
        <v>91</v>
      </c>
      <c r="H56" s="106">
        <v>45</v>
      </c>
      <c r="I56" s="23" t="s">
        <v>190</v>
      </c>
      <c r="J56" s="19" t="s">
        <v>179</v>
      </c>
      <c r="K56" s="24" t="s">
        <v>191</v>
      </c>
      <c r="L56" s="24" t="s">
        <v>37</v>
      </c>
      <c r="M56" s="26">
        <f t="shared" si="1"/>
        <v>434771371</v>
      </c>
      <c r="N56" s="26">
        <f t="shared" si="0"/>
        <v>434771371</v>
      </c>
      <c r="O56" s="107">
        <f>510900000-228298609</f>
        <v>282601391</v>
      </c>
      <c r="P56" s="26">
        <f>275100000-122930020</f>
        <v>152169980</v>
      </c>
      <c r="Q56" s="101"/>
      <c r="R56" s="101"/>
      <c r="S56" s="29" t="s">
        <v>38</v>
      </c>
      <c r="T56" s="29" t="s">
        <v>39</v>
      </c>
      <c r="U56" s="29" t="s">
        <v>40</v>
      </c>
      <c r="V56" s="29" t="s">
        <v>192</v>
      </c>
      <c r="W56" s="29" t="s">
        <v>176</v>
      </c>
      <c r="X56" s="29" t="s">
        <v>43</v>
      </c>
      <c r="Y56" s="29" t="s">
        <v>44</v>
      </c>
      <c r="Z56" s="30" t="s">
        <v>177</v>
      </c>
      <c r="AA56" s="85" t="s">
        <v>46</v>
      </c>
    </row>
    <row r="57" spans="1:27" s="6" customFormat="1" ht="57" customHeight="1" x14ac:dyDescent="0.25">
      <c r="A57" s="55" t="s">
        <v>172</v>
      </c>
      <c r="B57" s="102">
        <v>43212106</v>
      </c>
      <c r="C57" s="57" t="s">
        <v>201</v>
      </c>
      <c r="D57" s="57"/>
      <c r="E57" s="58"/>
      <c r="F57" s="108"/>
      <c r="G57" s="59"/>
      <c r="H57" s="109"/>
      <c r="I57" s="61"/>
      <c r="J57" s="57"/>
      <c r="K57" s="62" t="s">
        <v>191</v>
      </c>
      <c r="L57" s="62" t="s">
        <v>117</v>
      </c>
      <c r="M57" s="64">
        <f>+N57+Q57+R57</f>
        <v>306199347</v>
      </c>
      <c r="N57" s="64">
        <f t="shared" si="0"/>
        <v>306199347</v>
      </c>
      <c r="O57" s="110">
        <f>510900001-282601392-45029282</f>
        <v>183269327</v>
      </c>
      <c r="P57" s="64">
        <f>275100000-152169980</f>
        <v>122930020</v>
      </c>
      <c r="Q57" s="103"/>
      <c r="R57" s="103"/>
      <c r="S57" s="33"/>
      <c r="T57" s="33"/>
      <c r="U57" s="33" t="s">
        <v>75</v>
      </c>
      <c r="V57" s="33" t="s">
        <v>192</v>
      </c>
      <c r="W57" s="33" t="s">
        <v>176</v>
      </c>
      <c r="X57" s="33" t="s">
        <v>43</v>
      </c>
      <c r="Y57" s="33" t="s">
        <v>44</v>
      </c>
      <c r="Z57" s="48" t="s">
        <v>182</v>
      </c>
      <c r="AA57" s="95" t="s">
        <v>46</v>
      </c>
    </row>
    <row r="58" spans="1:27" s="6" customFormat="1" ht="42.75" customHeight="1" x14ac:dyDescent="0.25">
      <c r="A58" s="34" t="s">
        <v>172</v>
      </c>
      <c r="B58" s="111">
        <v>81112006</v>
      </c>
      <c r="C58" s="36" t="s">
        <v>202</v>
      </c>
      <c r="D58" s="36"/>
      <c r="E58" s="80">
        <v>44074</v>
      </c>
      <c r="F58" s="112" t="s">
        <v>50</v>
      </c>
      <c r="G58" s="113" t="s">
        <v>71</v>
      </c>
      <c r="H58" s="114">
        <v>140</v>
      </c>
      <c r="I58" s="41" t="s">
        <v>28</v>
      </c>
      <c r="J58" s="36" t="s">
        <v>203</v>
      </c>
      <c r="K58" s="43" t="s">
        <v>204</v>
      </c>
      <c r="L58" s="43" t="s">
        <v>37</v>
      </c>
      <c r="M58" s="44">
        <f t="shared" si="1"/>
        <v>377878572</v>
      </c>
      <c r="N58" s="44">
        <f t="shared" si="0"/>
        <v>377878572</v>
      </c>
      <c r="O58" s="44">
        <v>113363572</v>
      </c>
      <c r="P58" s="44">
        <v>264515000</v>
      </c>
      <c r="Q58" s="115"/>
      <c r="R58" s="115"/>
      <c r="S58" s="42" t="s">
        <v>38</v>
      </c>
      <c r="T58" s="42" t="s">
        <v>39</v>
      </c>
      <c r="U58" s="42" t="s">
        <v>52</v>
      </c>
      <c r="V58" s="42" t="s">
        <v>205</v>
      </c>
      <c r="W58" s="42" t="s">
        <v>176</v>
      </c>
      <c r="X58" s="42" t="s">
        <v>43</v>
      </c>
      <c r="Y58" s="42" t="s">
        <v>44</v>
      </c>
      <c r="Z58" s="46" t="s">
        <v>177</v>
      </c>
      <c r="AA58" s="84" t="s">
        <v>46</v>
      </c>
    </row>
    <row r="59" spans="1:27" s="6" customFormat="1" ht="57" customHeight="1" x14ac:dyDescent="0.25">
      <c r="A59" s="34" t="s">
        <v>172</v>
      </c>
      <c r="B59" s="111">
        <v>45121504</v>
      </c>
      <c r="C59" s="36" t="s">
        <v>206</v>
      </c>
      <c r="D59" s="36"/>
      <c r="E59" s="80">
        <v>43951</v>
      </c>
      <c r="F59" s="116" t="s">
        <v>115</v>
      </c>
      <c r="G59" s="117" t="s">
        <v>91</v>
      </c>
      <c r="H59" s="114">
        <v>45</v>
      </c>
      <c r="I59" s="41" t="s">
        <v>190</v>
      </c>
      <c r="J59" s="36" t="s">
        <v>203</v>
      </c>
      <c r="K59" s="43" t="s">
        <v>191</v>
      </c>
      <c r="L59" s="43" t="s">
        <v>37</v>
      </c>
      <c r="M59" s="44">
        <f t="shared" si="1"/>
        <v>198000000</v>
      </c>
      <c r="N59" s="44">
        <f t="shared" si="0"/>
        <v>198000000</v>
      </c>
      <c r="O59" s="118">
        <v>128700000</v>
      </c>
      <c r="P59" s="44">
        <v>69300000</v>
      </c>
      <c r="Q59" s="115"/>
      <c r="R59" s="115"/>
      <c r="S59" s="42" t="s">
        <v>38</v>
      </c>
      <c r="T59" s="42" t="s">
        <v>39</v>
      </c>
      <c r="U59" s="42" t="s">
        <v>52</v>
      </c>
      <c r="V59" s="42" t="s">
        <v>207</v>
      </c>
      <c r="W59" s="42" t="s">
        <v>176</v>
      </c>
      <c r="X59" s="42" t="s">
        <v>43</v>
      </c>
      <c r="Y59" s="42" t="s">
        <v>44</v>
      </c>
      <c r="Z59" s="46" t="s">
        <v>177</v>
      </c>
      <c r="AA59" s="84" t="s">
        <v>46</v>
      </c>
    </row>
    <row r="60" spans="1:27" s="119" customFormat="1" ht="128.15" customHeight="1" x14ac:dyDescent="0.25">
      <c r="A60" s="17" t="s">
        <v>172</v>
      </c>
      <c r="B60" s="18">
        <v>43223306</v>
      </c>
      <c r="C60" s="19" t="s">
        <v>208</v>
      </c>
      <c r="D60" s="19"/>
      <c r="E60" s="20">
        <v>44012</v>
      </c>
      <c r="F60" s="105" t="s">
        <v>209</v>
      </c>
      <c r="G60" s="54" t="s">
        <v>33</v>
      </c>
      <c r="H60" s="18">
        <v>4</v>
      </c>
      <c r="I60" s="23" t="s">
        <v>34</v>
      </c>
      <c r="J60" s="19" t="s">
        <v>203</v>
      </c>
      <c r="K60" s="24" t="s">
        <v>191</v>
      </c>
      <c r="L60" s="24" t="s">
        <v>37</v>
      </c>
      <c r="M60" s="26">
        <f t="shared" si="1"/>
        <v>2385223496</v>
      </c>
      <c r="N60" s="26">
        <f t="shared" si="0"/>
        <v>2385223496</v>
      </c>
      <c r="O60" s="89">
        <f>726083901-10516852</f>
        <v>715567049</v>
      </c>
      <c r="P60" s="26">
        <f>1694195768-24539321</f>
        <v>1669656447</v>
      </c>
      <c r="Q60" s="26"/>
      <c r="R60" s="26"/>
      <c r="S60" s="29" t="s">
        <v>38</v>
      </c>
      <c r="T60" s="29" t="s">
        <v>39</v>
      </c>
      <c r="U60" s="29" t="s">
        <v>40</v>
      </c>
      <c r="V60" s="29" t="s">
        <v>210</v>
      </c>
      <c r="W60" s="29" t="s">
        <v>176</v>
      </c>
      <c r="X60" s="29" t="s">
        <v>43</v>
      </c>
      <c r="Y60" s="29" t="s">
        <v>44</v>
      </c>
      <c r="Z60" s="30" t="s">
        <v>177</v>
      </c>
      <c r="AA60" s="85" t="s">
        <v>46</v>
      </c>
    </row>
    <row r="61" spans="1:27" s="119" customFormat="1" ht="128.15" customHeight="1" x14ac:dyDescent="0.25">
      <c r="A61" s="55" t="s">
        <v>172</v>
      </c>
      <c r="B61" s="56">
        <v>43223306</v>
      </c>
      <c r="C61" s="57" t="s">
        <v>211</v>
      </c>
      <c r="D61" s="57"/>
      <c r="E61" s="58"/>
      <c r="F61" s="108"/>
      <c r="G61" s="59"/>
      <c r="H61" s="56"/>
      <c r="I61" s="61"/>
      <c r="J61" s="57"/>
      <c r="K61" s="62" t="s">
        <v>191</v>
      </c>
      <c r="L61" s="62" t="s">
        <v>37</v>
      </c>
      <c r="M61" s="64">
        <f t="shared" si="1"/>
        <v>24539321</v>
      </c>
      <c r="N61" s="64">
        <f t="shared" si="0"/>
        <v>24539321</v>
      </c>
      <c r="O61" s="94"/>
      <c r="P61" s="64">
        <f>1694195768-1669656447</f>
        <v>24539321</v>
      </c>
      <c r="Q61" s="64"/>
      <c r="R61" s="64"/>
      <c r="S61" s="33" t="s">
        <v>38</v>
      </c>
      <c r="T61" s="33" t="s">
        <v>39</v>
      </c>
      <c r="U61" s="33" t="s">
        <v>75</v>
      </c>
      <c r="V61" s="33" t="s">
        <v>210</v>
      </c>
      <c r="W61" s="33" t="s">
        <v>176</v>
      </c>
      <c r="X61" s="33" t="s">
        <v>43</v>
      </c>
      <c r="Y61" s="33" t="s">
        <v>44</v>
      </c>
      <c r="Z61" s="48" t="s">
        <v>177</v>
      </c>
      <c r="AA61" s="95" t="s">
        <v>46</v>
      </c>
    </row>
    <row r="62" spans="1:27" s="6" customFormat="1" ht="57" customHeight="1" x14ac:dyDescent="0.25">
      <c r="A62" s="17" t="s">
        <v>172</v>
      </c>
      <c r="B62" s="18">
        <v>81112501</v>
      </c>
      <c r="C62" s="86" t="s">
        <v>212</v>
      </c>
      <c r="D62" s="86"/>
      <c r="E62" s="20">
        <v>44012</v>
      </c>
      <c r="F62" s="54" t="s">
        <v>209</v>
      </c>
      <c r="G62" s="120" t="s">
        <v>59</v>
      </c>
      <c r="H62" s="18">
        <v>12</v>
      </c>
      <c r="I62" s="23" t="s">
        <v>34</v>
      </c>
      <c r="J62" s="19" t="s">
        <v>35</v>
      </c>
      <c r="K62" s="24" t="s">
        <v>213</v>
      </c>
      <c r="L62" s="24" t="s">
        <v>37</v>
      </c>
      <c r="M62" s="26">
        <f t="shared" si="1"/>
        <v>1391810473</v>
      </c>
      <c r="N62" s="26">
        <f t="shared" si="0"/>
        <v>1391810473</v>
      </c>
      <c r="O62" s="26">
        <f>289499154+460714012-332677724</f>
        <v>417535442</v>
      </c>
      <c r="P62" s="26">
        <f>675498027+1074999361-776222357</f>
        <v>974275031</v>
      </c>
      <c r="Q62" s="26"/>
      <c r="R62" s="26"/>
      <c r="S62" s="29" t="s">
        <v>38</v>
      </c>
      <c r="T62" s="29" t="s">
        <v>39</v>
      </c>
      <c r="U62" s="29" t="s">
        <v>40</v>
      </c>
      <c r="V62" s="29" t="s">
        <v>214</v>
      </c>
      <c r="W62" s="29" t="s">
        <v>176</v>
      </c>
      <c r="X62" s="29" t="s">
        <v>43</v>
      </c>
      <c r="Y62" s="29" t="s">
        <v>44</v>
      </c>
      <c r="Z62" s="30" t="s">
        <v>177</v>
      </c>
      <c r="AA62" s="85" t="s">
        <v>46</v>
      </c>
    </row>
    <row r="63" spans="1:27" s="6" customFormat="1" ht="57" customHeight="1" x14ac:dyDescent="0.25">
      <c r="A63" s="55" t="s">
        <v>172</v>
      </c>
      <c r="B63" s="56">
        <v>81112502</v>
      </c>
      <c r="C63" s="121" t="s">
        <v>215</v>
      </c>
      <c r="D63" s="121"/>
      <c r="E63" s="58"/>
      <c r="F63" s="59"/>
      <c r="G63" s="122"/>
      <c r="H63" s="56"/>
      <c r="I63" s="61"/>
      <c r="J63" s="57"/>
      <c r="K63" s="62" t="s">
        <v>213</v>
      </c>
      <c r="L63" s="62" t="s">
        <v>117</v>
      </c>
      <c r="M63" s="64">
        <f>+N63+Q63+R63</f>
        <v>996084832</v>
      </c>
      <c r="N63" s="64">
        <f>+O63+P63</f>
        <v>996084832</v>
      </c>
      <c r="O63" s="64">
        <f>289499154+460714012-240383433-177163009-19540469-47647611</f>
        <v>265478644</v>
      </c>
      <c r="P63" s="64">
        <f>675498027+1074999361-560894677-413380354-45616169</f>
        <v>730606188</v>
      </c>
      <c r="Q63" s="64"/>
      <c r="R63" s="64"/>
      <c r="S63" s="33" t="s">
        <v>38</v>
      </c>
      <c r="T63" s="33" t="s">
        <v>39</v>
      </c>
      <c r="U63" s="33" t="s">
        <v>75</v>
      </c>
      <c r="V63" s="33" t="s">
        <v>214</v>
      </c>
      <c r="W63" s="33" t="s">
        <v>176</v>
      </c>
      <c r="X63" s="33" t="s">
        <v>43</v>
      </c>
      <c r="Y63" s="33" t="s">
        <v>44</v>
      </c>
      <c r="Z63" s="48" t="s">
        <v>182</v>
      </c>
      <c r="AA63" s="95" t="s">
        <v>46</v>
      </c>
    </row>
    <row r="64" spans="1:27" s="6" customFormat="1" ht="57" customHeight="1" x14ac:dyDescent="0.25">
      <c r="A64" s="34" t="s">
        <v>172</v>
      </c>
      <c r="B64" s="35">
        <v>81112501</v>
      </c>
      <c r="C64" s="123" t="s">
        <v>216</v>
      </c>
      <c r="D64" s="123"/>
      <c r="E64" s="80">
        <v>44074</v>
      </c>
      <c r="F64" s="124" t="s">
        <v>50</v>
      </c>
      <c r="G64" s="124" t="s">
        <v>71</v>
      </c>
      <c r="H64" s="35">
        <v>1</v>
      </c>
      <c r="I64" s="41" t="s">
        <v>34</v>
      </c>
      <c r="J64" s="36" t="s">
        <v>203</v>
      </c>
      <c r="K64" s="43" t="s">
        <v>213</v>
      </c>
      <c r="L64" s="43" t="s">
        <v>37</v>
      </c>
      <c r="M64" s="44">
        <f t="shared" si="1"/>
        <v>204100000</v>
      </c>
      <c r="N64" s="44">
        <f t="shared" si="0"/>
        <v>204100000</v>
      </c>
      <c r="O64" s="125">
        <f>73838438+2631967-15240405</f>
        <v>61230000</v>
      </c>
      <c r="P64" s="118">
        <f>172289689+6141256-35560945</f>
        <v>142870000</v>
      </c>
      <c r="Q64" s="44"/>
      <c r="R64" s="44"/>
      <c r="S64" s="42" t="s">
        <v>38</v>
      </c>
      <c r="T64" s="42" t="s">
        <v>39</v>
      </c>
      <c r="U64" s="42" t="s">
        <v>52</v>
      </c>
      <c r="V64" s="42" t="s">
        <v>214</v>
      </c>
      <c r="W64" s="42" t="s">
        <v>176</v>
      </c>
      <c r="X64" s="42" t="s">
        <v>43</v>
      </c>
      <c r="Y64" s="42" t="s">
        <v>44</v>
      </c>
      <c r="Z64" s="46" t="s">
        <v>177</v>
      </c>
      <c r="AA64" s="84" t="s">
        <v>46</v>
      </c>
    </row>
    <row r="65" spans="1:27" s="6" customFormat="1" ht="57" customHeight="1" x14ac:dyDescent="0.25">
      <c r="A65" s="34" t="s">
        <v>172</v>
      </c>
      <c r="B65" s="35">
        <v>81112501</v>
      </c>
      <c r="C65" s="123" t="s">
        <v>217</v>
      </c>
      <c r="D65" s="123"/>
      <c r="E65" s="80">
        <v>44048</v>
      </c>
      <c r="F65" s="112" t="s">
        <v>50</v>
      </c>
      <c r="G65" s="117" t="s">
        <v>71</v>
      </c>
      <c r="H65" s="35">
        <v>1</v>
      </c>
      <c r="I65" s="41" t="s">
        <v>34</v>
      </c>
      <c r="J65" s="36" t="s">
        <v>203</v>
      </c>
      <c r="K65" s="43" t="s">
        <v>213</v>
      </c>
      <c r="L65" s="43" t="s">
        <v>37</v>
      </c>
      <c r="M65" s="44">
        <f t="shared" si="1"/>
        <v>326523518</v>
      </c>
      <c r="N65" s="44">
        <f t="shared" si="0"/>
        <v>326523518</v>
      </c>
      <c r="O65" s="44">
        <f>74250528+23706528</f>
        <v>97957056</v>
      </c>
      <c r="P65" s="126">
        <f>173251231+55315231</f>
        <v>228566462</v>
      </c>
      <c r="Q65" s="44"/>
      <c r="R65" s="44"/>
      <c r="S65" s="42" t="s">
        <v>38</v>
      </c>
      <c r="T65" s="42" t="s">
        <v>39</v>
      </c>
      <c r="U65" s="42" t="s">
        <v>52</v>
      </c>
      <c r="V65" s="42" t="s">
        <v>214</v>
      </c>
      <c r="W65" s="42" t="s">
        <v>176</v>
      </c>
      <c r="X65" s="42" t="s">
        <v>43</v>
      </c>
      <c r="Y65" s="42" t="s">
        <v>44</v>
      </c>
      <c r="Z65" s="46" t="s">
        <v>177</v>
      </c>
      <c r="AA65" s="84" t="s">
        <v>46</v>
      </c>
    </row>
    <row r="66" spans="1:27" s="6" customFormat="1" ht="57" customHeight="1" x14ac:dyDescent="0.25">
      <c r="A66" s="17" t="s">
        <v>172</v>
      </c>
      <c r="B66" s="18">
        <v>81112501</v>
      </c>
      <c r="C66" s="86" t="s">
        <v>218</v>
      </c>
      <c r="D66" s="86"/>
      <c r="E66" s="20">
        <v>43987</v>
      </c>
      <c r="F66" s="79" t="s">
        <v>209</v>
      </c>
      <c r="G66" s="127" t="s">
        <v>33</v>
      </c>
      <c r="H66" s="18">
        <v>12</v>
      </c>
      <c r="I66" s="23" t="s">
        <v>34</v>
      </c>
      <c r="J66" s="19" t="s">
        <v>179</v>
      </c>
      <c r="K66" s="24" t="s">
        <v>213</v>
      </c>
      <c r="L66" s="24" t="s">
        <v>37</v>
      </c>
      <c r="M66" s="26">
        <f t="shared" si="1"/>
        <v>98456433</v>
      </c>
      <c r="N66" s="26">
        <f t="shared" si="0"/>
        <v>98456433</v>
      </c>
      <c r="O66" s="26">
        <f>34709365-5172435</f>
        <v>29536930</v>
      </c>
      <c r="P66" s="89">
        <f>80988519-12069016</f>
        <v>68919503</v>
      </c>
      <c r="Q66" s="26"/>
      <c r="R66" s="26"/>
      <c r="S66" s="29" t="s">
        <v>38</v>
      </c>
      <c r="T66" s="29" t="s">
        <v>39</v>
      </c>
      <c r="U66" s="29" t="s">
        <v>40</v>
      </c>
      <c r="V66" s="29" t="s">
        <v>205</v>
      </c>
      <c r="W66" s="29" t="s">
        <v>176</v>
      </c>
      <c r="X66" s="29" t="s">
        <v>43</v>
      </c>
      <c r="Y66" s="29" t="s">
        <v>44</v>
      </c>
      <c r="Z66" s="30" t="s">
        <v>177</v>
      </c>
      <c r="AA66" s="85" t="s">
        <v>46</v>
      </c>
    </row>
    <row r="67" spans="1:27" s="6" customFormat="1" ht="57" customHeight="1" x14ac:dyDescent="0.25">
      <c r="A67" s="17" t="s">
        <v>172</v>
      </c>
      <c r="B67" s="18">
        <v>81112501</v>
      </c>
      <c r="C67" s="86" t="s">
        <v>219</v>
      </c>
      <c r="D67" s="128">
        <v>44196</v>
      </c>
      <c r="E67" s="20">
        <v>43830</v>
      </c>
      <c r="F67" s="120" t="s">
        <v>157</v>
      </c>
      <c r="G67" s="120" t="s">
        <v>104</v>
      </c>
      <c r="H67" s="18">
        <v>12</v>
      </c>
      <c r="I67" s="23" t="s">
        <v>34</v>
      </c>
      <c r="J67" s="19" t="s">
        <v>35</v>
      </c>
      <c r="K67" s="24" t="s">
        <v>213</v>
      </c>
      <c r="L67" s="24" t="s">
        <v>37</v>
      </c>
      <c r="M67" s="26">
        <f t="shared" si="1"/>
        <v>46581360</v>
      </c>
      <c r="N67" s="26">
        <f t="shared" si="0"/>
        <v>46581360</v>
      </c>
      <c r="O67" s="129">
        <f>30290000-12116</f>
        <v>30277884</v>
      </c>
      <c r="P67" s="89">
        <f>16310000-6524</f>
        <v>16303476</v>
      </c>
      <c r="Q67" s="26"/>
      <c r="R67" s="26"/>
      <c r="S67" s="29" t="s">
        <v>38</v>
      </c>
      <c r="T67" s="29" t="s">
        <v>39</v>
      </c>
      <c r="U67" s="29" t="s">
        <v>40</v>
      </c>
      <c r="V67" s="29" t="s">
        <v>220</v>
      </c>
      <c r="W67" s="29" t="s">
        <v>176</v>
      </c>
      <c r="X67" s="29" t="s">
        <v>43</v>
      </c>
      <c r="Y67" s="29" t="s">
        <v>44</v>
      </c>
      <c r="Z67" s="30" t="s">
        <v>177</v>
      </c>
      <c r="AA67" s="85" t="s">
        <v>46</v>
      </c>
    </row>
    <row r="68" spans="1:27" s="6" customFormat="1" ht="57" customHeight="1" x14ac:dyDescent="0.25">
      <c r="A68" s="34" t="s">
        <v>172</v>
      </c>
      <c r="B68" s="35">
        <v>81112501</v>
      </c>
      <c r="C68" s="123" t="s">
        <v>221</v>
      </c>
      <c r="D68" s="123"/>
      <c r="E68" s="80">
        <v>44048</v>
      </c>
      <c r="F68" s="112" t="s">
        <v>50</v>
      </c>
      <c r="G68" s="117" t="s">
        <v>71</v>
      </c>
      <c r="H68" s="35">
        <v>12</v>
      </c>
      <c r="I68" s="41" t="s">
        <v>34</v>
      </c>
      <c r="J68" s="36" t="s">
        <v>203</v>
      </c>
      <c r="K68" s="43" t="s">
        <v>213</v>
      </c>
      <c r="L68" s="43" t="s">
        <v>37</v>
      </c>
      <c r="M68" s="44">
        <f t="shared" si="1"/>
        <v>396928098</v>
      </c>
      <c r="N68" s="44">
        <f t="shared" si="0"/>
        <v>396928098</v>
      </c>
      <c r="O68" s="125">
        <f>48509028+70569401</f>
        <v>119078429</v>
      </c>
      <c r="P68" s="126">
        <f>113187731+164661938</f>
        <v>277849669</v>
      </c>
      <c r="Q68" s="44"/>
      <c r="R68" s="44"/>
      <c r="S68" s="42" t="s">
        <v>38</v>
      </c>
      <c r="T68" s="42" t="s">
        <v>39</v>
      </c>
      <c r="U68" s="42" t="s">
        <v>52</v>
      </c>
      <c r="V68" s="42" t="s">
        <v>205</v>
      </c>
      <c r="W68" s="42" t="s">
        <v>176</v>
      </c>
      <c r="X68" s="42" t="s">
        <v>43</v>
      </c>
      <c r="Y68" s="42" t="s">
        <v>44</v>
      </c>
      <c r="Z68" s="46" t="s">
        <v>177</v>
      </c>
      <c r="AA68" s="84" t="s">
        <v>46</v>
      </c>
    </row>
    <row r="69" spans="1:27" s="6" customFormat="1" ht="57" customHeight="1" x14ac:dyDescent="0.25">
      <c r="A69" s="55" t="s">
        <v>172</v>
      </c>
      <c r="B69" s="56">
        <v>81112501</v>
      </c>
      <c r="C69" s="121" t="s">
        <v>222</v>
      </c>
      <c r="D69" s="121"/>
      <c r="E69" s="58">
        <v>44135</v>
      </c>
      <c r="F69" s="33" t="s">
        <v>223</v>
      </c>
      <c r="G69" s="59" t="s">
        <v>223</v>
      </c>
      <c r="H69" s="56">
        <v>2</v>
      </c>
      <c r="I69" s="61" t="s">
        <v>34</v>
      </c>
      <c r="J69" s="57" t="s">
        <v>35</v>
      </c>
      <c r="K69" s="62" t="s">
        <v>213</v>
      </c>
      <c r="L69" s="62" t="s">
        <v>37</v>
      </c>
      <c r="M69" s="64">
        <f t="shared" si="1"/>
        <v>935093622</v>
      </c>
      <c r="N69" s="64">
        <f t="shared" si="0"/>
        <v>935093622</v>
      </c>
      <c r="O69" s="64">
        <f>161175052+119353035</f>
        <v>280528087</v>
      </c>
      <c r="P69" s="64">
        <f>376075120+278490415</f>
        <v>654565535</v>
      </c>
      <c r="Q69" s="64"/>
      <c r="R69" s="64"/>
      <c r="S69" s="33" t="s">
        <v>38</v>
      </c>
      <c r="T69" s="33" t="s">
        <v>39</v>
      </c>
      <c r="U69" s="33"/>
      <c r="V69" s="33" t="s">
        <v>214</v>
      </c>
      <c r="W69" s="33" t="s">
        <v>176</v>
      </c>
      <c r="X69" s="33" t="s">
        <v>43</v>
      </c>
      <c r="Y69" s="33" t="s">
        <v>44</v>
      </c>
      <c r="Z69" s="48" t="s">
        <v>177</v>
      </c>
      <c r="AA69" s="95" t="s">
        <v>46</v>
      </c>
    </row>
    <row r="70" spans="1:27" s="6" customFormat="1" ht="57" customHeight="1" x14ac:dyDescent="0.25">
      <c r="A70" s="17" t="s">
        <v>172</v>
      </c>
      <c r="B70" s="18">
        <v>81112501</v>
      </c>
      <c r="C70" s="19" t="s">
        <v>224</v>
      </c>
      <c r="D70" s="86"/>
      <c r="E70" s="20">
        <v>43987</v>
      </c>
      <c r="F70" s="79" t="s">
        <v>209</v>
      </c>
      <c r="G70" s="127" t="s">
        <v>33</v>
      </c>
      <c r="H70" s="18">
        <v>12</v>
      </c>
      <c r="I70" s="23" t="s">
        <v>34</v>
      </c>
      <c r="J70" s="19" t="s">
        <v>225</v>
      </c>
      <c r="K70" s="24" t="s">
        <v>213</v>
      </c>
      <c r="L70" s="24" t="s">
        <v>37</v>
      </c>
      <c r="M70" s="26">
        <f t="shared" si="1"/>
        <v>14000000</v>
      </c>
      <c r="N70" s="130">
        <f t="shared" si="0"/>
        <v>14000000</v>
      </c>
      <c r="O70" s="107">
        <f>11881786-7681786</f>
        <v>4200000</v>
      </c>
      <c r="P70" s="89">
        <f>27724169-17924169</f>
        <v>9800000</v>
      </c>
      <c r="Q70" s="26"/>
      <c r="R70" s="26"/>
      <c r="S70" s="29" t="s">
        <v>38</v>
      </c>
      <c r="T70" s="29" t="s">
        <v>39</v>
      </c>
      <c r="U70" s="29" t="s">
        <v>40</v>
      </c>
      <c r="V70" s="29" t="s">
        <v>214</v>
      </c>
      <c r="W70" s="29" t="s">
        <v>176</v>
      </c>
      <c r="X70" s="29" t="s">
        <v>43</v>
      </c>
      <c r="Y70" s="29" t="s">
        <v>44</v>
      </c>
      <c r="Z70" s="30" t="s">
        <v>177</v>
      </c>
      <c r="AA70" s="85" t="s">
        <v>46</v>
      </c>
    </row>
    <row r="71" spans="1:27" s="6" customFormat="1" ht="57" customHeight="1" x14ac:dyDescent="0.25">
      <c r="A71" s="55" t="s">
        <v>172</v>
      </c>
      <c r="B71" s="56">
        <v>81112501</v>
      </c>
      <c r="C71" s="57" t="s">
        <v>226</v>
      </c>
      <c r="D71" s="121"/>
      <c r="E71" s="58"/>
      <c r="F71" s="131"/>
      <c r="G71" s="132"/>
      <c r="H71" s="56"/>
      <c r="I71" s="61"/>
      <c r="J71" s="57"/>
      <c r="K71" s="62" t="s">
        <v>213</v>
      </c>
      <c r="L71" s="62" t="s">
        <v>37</v>
      </c>
      <c r="M71" s="64">
        <f t="shared" si="1"/>
        <v>14000000</v>
      </c>
      <c r="N71" s="133">
        <f t="shared" si="0"/>
        <v>14000000</v>
      </c>
      <c r="O71" s="110">
        <f>11881786-7681786</f>
        <v>4200000</v>
      </c>
      <c r="P71" s="94">
        <f>27724169-17924169</f>
        <v>9800000</v>
      </c>
      <c r="Q71" s="64"/>
      <c r="R71" s="64"/>
      <c r="S71" s="33" t="s">
        <v>38</v>
      </c>
      <c r="T71" s="33" t="s">
        <v>39</v>
      </c>
      <c r="U71" s="33" t="s">
        <v>75</v>
      </c>
      <c r="V71" s="33" t="s">
        <v>214</v>
      </c>
      <c r="W71" s="33" t="s">
        <v>176</v>
      </c>
      <c r="X71" s="33" t="s">
        <v>43</v>
      </c>
      <c r="Y71" s="33" t="s">
        <v>44</v>
      </c>
      <c r="Z71" s="48" t="s">
        <v>177</v>
      </c>
      <c r="AA71" s="95" t="s">
        <v>46</v>
      </c>
    </row>
    <row r="72" spans="1:27" s="6" customFormat="1" ht="57" customHeight="1" x14ac:dyDescent="0.25">
      <c r="A72" s="34" t="s">
        <v>172</v>
      </c>
      <c r="B72" s="35">
        <v>81112501</v>
      </c>
      <c r="C72" s="36" t="s">
        <v>227</v>
      </c>
      <c r="D72" s="123"/>
      <c r="E72" s="80">
        <v>44074</v>
      </c>
      <c r="F72" s="116" t="s">
        <v>91</v>
      </c>
      <c r="G72" s="116" t="s">
        <v>59</v>
      </c>
      <c r="H72" s="35">
        <v>1</v>
      </c>
      <c r="I72" s="41" t="s">
        <v>34</v>
      </c>
      <c r="J72" s="36" t="s">
        <v>203</v>
      </c>
      <c r="K72" s="43" t="s">
        <v>213</v>
      </c>
      <c r="L72" s="43" t="s">
        <v>37</v>
      </c>
      <c r="M72" s="44">
        <f t="shared" si="1"/>
        <v>71181759</v>
      </c>
      <c r="N72" s="134">
        <f t="shared" si="0"/>
        <v>71181759</v>
      </c>
      <c r="O72" s="118">
        <v>21354528</v>
      </c>
      <c r="P72" s="126">
        <v>49827231</v>
      </c>
      <c r="Q72" s="44"/>
      <c r="R72" s="44"/>
      <c r="S72" s="42" t="s">
        <v>38</v>
      </c>
      <c r="T72" s="42" t="s">
        <v>39</v>
      </c>
      <c r="U72" s="42" t="s">
        <v>52</v>
      </c>
      <c r="V72" s="42" t="s">
        <v>214</v>
      </c>
      <c r="W72" s="42" t="s">
        <v>176</v>
      </c>
      <c r="X72" s="42" t="s">
        <v>43</v>
      </c>
      <c r="Y72" s="42" t="s">
        <v>44</v>
      </c>
      <c r="Z72" s="46" t="s">
        <v>177</v>
      </c>
      <c r="AA72" s="84" t="s">
        <v>46</v>
      </c>
    </row>
    <row r="73" spans="1:27" s="6" customFormat="1" ht="57" customHeight="1" x14ac:dyDescent="0.25">
      <c r="A73" s="17" t="s">
        <v>172</v>
      </c>
      <c r="B73" s="18">
        <v>81112501</v>
      </c>
      <c r="C73" s="86" t="s">
        <v>228</v>
      </c>
      <c r="D73" s="86"/>
      <c r="E73" s="20">
        <v>43889</v>
      </c>
      <c r="F73" s="29" t="s">
        <v>115</v>
      </c>
      <c r="G73" s="54" t="s">
        <v>91</v>
      </c>
      <c r="H73" s="18">
        <v>12</v>
      </c>
      <c r="I73" s="23" t="s">
        <v>34</v>
      </c>
      <c r="J73" s="19" t="s">
        <v>179</v>
      </c>
      <c r="K73" s="24" t="s">
        <v>213</v>
      </c>
      <c r="L73" s="24" t="s">
        <v>37</v>
      </c>
      <c r="M73" s="26">
        <f t="shared" si="1"/>
        <v>291064798</v>
      </c>
      <c r="N73" s="26">
        <f t="shared" si="0"/>
        <v>291064798</v>
      </c>
      <c r="O73" s="26">
        <f>208497849-19305730</f>
        <v>189192119</v>
      </c>
      <c r="P73" s="26">
        <f>112268073-10395394</f>
        <v>101872679</v>
      </c>
      <c r="Q73" s="26"/>
      <c r="R73" s="26"/>
      <c r="S73" s="29" t="s">
        <v>38</v>
      </c>
      <c r="T73" s="29" t="s">
        <v>39</v>
      </c>
      <c r="U73" s="29" t="s">
        <v>40</v>
      </c>
      <c r="V73" s="29" t="s">
        <v>214</v>
      </c>
      <c r="W73" s="29" t="s">
        <v>176</v>
      </c>
      <c r="X73" s="29" t="s">
        <v>43</v>
      </c>
      <c r="Y73" s="29" t="s">
        <v>44</v>
      </c>
      <c r="Z73" s="30" t="s">
        <v>177</v>
      </c>
      <c r="AA73" s="85" t="s">
        <v>46</v>
      </c>
    </row>
    <row r="74" spans="1:27" s="6" customFormat="1" ht="57" customHeight="1" x14ac:dyDescent="0.25">
      <c r="A74" s="17" t="s">
        <v>172</v>
      </c>
      <c r="B74" s="18">
        <v>81111811</v>
      </c>
      <c r="C74" s="86" t="s">
        <v>229</v>
      </c>
      <c r="D74" s="86"/>
      <c r="E74" s="20">
        <v>43951</v>
      </c>
      <c r="F74" s="29" t="s">
        <v>32</v>
      </c>
      <c r="G74" s="54" t="s">
        <v>209</v>
      </c>
      <c r="H74" s="18">
        <v>12</v>
      </c>
      <c r="I74" s="23" t="s">
        <v>34</v>
      </c>
      <c r="J74" s="19" t="s">
        <v>35</v>
      </c>
      <c r="K74" s="29" t="s">
        <v>230</v>
      </c>
      <c r="L74" s="24" t="s">
        <v>231</v>
      </c>
      <c r="M74" s="26">
        <f t="shared" si="1"/>
        <v>529173412</v>
      </c>
      <c r="N74" s="26">
        <f t="shared" ref="N74:N144" si="2">+O74+P74</f>
        <v>529173412</v>
      </c>
      <c r="O74" s="26">
        <v>158752024</v>
      </c>
      <c r="P74" s="26">
        <v>370421388</v>
      </c>
      <c r="Q74" s="26"/>
      <c r="R74" s="26"/>
      <c r="S74" s="29" t="s">
        <v>38</v>
      </c>
      <c r="T74" s="29" t="s">
        <v>39</v>
      </c>
      <c r="U74" s="29" t="s">
        <v>40</v>
      </c>
      <c r="V74" s="29" t="s">
        <v>232</v>
      </c>
      <c r="W74" s="29" t="s">
        <v>176</v>
      </c>
      <c r="X74" s="29" t="s">
        <v>43</v>
      </c>
      <c r="Y74" s="29" t="s">
        <v>44</v>
      </c>
      <c r="Z74" s="30" t="s">
        <v>177</v>
      </c>
      <c r="AA74" s="85" t="s">
        <v>46</v>
      </c>
    </row>
    <row r="75" spans="1:27" s="6" customFormat="1" ht="42.75" customHeight="1" x14ac:dyDescent="0.25">
      <c r="A75" s="17" t="s">
        <v>172</v>
      </c>
      <c r="B75" s="18">
        <v>81111811</v>
      </c>
      <c r="C75" s="19" t="s">
        <v>233</v>
      </c>
      <c r="D75" s="49">
        <v>44773</v>
      </c>
      <c r="E75" s="20"/>
      <c r="F75" s="21"/>
      <c r="G75" s="21"/>
      <c r="H75" s="53"/>
      <c r="I75" s="23"/>
      <c r="J75" s="24" t="s">
        <v>55</v>
      </c>
      <c r="K75" s="24" t="s">
        <v>204</v>
      </c>
      <c r="L75" s="89" t="s">
        <v>37</v>
      </c>
      <c r="M75" s="26">
        <f t="shared" si="1"/>
        <v>13694833606</v>
      </c>
      <c r="N75" s="26">
        <f t="shared" si="2"/>
        <v>5102501873</v>
      </c>
      <c r="O75" s="26">
        <f>5102501873*0.65</f>
        <v>3316626217.4500003</v>
      </c>
      <c r="P75" s="26">
        <f>5102501873*0.35</f>
        <v>1785875655.55</v>
      </c>
      <c r="Q75" s="26">
        <f>5262916643</f>
        <v>5262916643</v>
      </c>
      <c r="R75" s="26">
        <v>3329415090</v>
      </c>
      <c r="S75" s="29" t="s">
        <v>188</v>
      </c>
      <c r="T75" s="29" t="s">
        <v>99</v>
      </c>
      <c r="U75" s="29" t="s">
        <v>57</v>
      </c>
      <c r="V75" s="29"/>
      <c r="W75" s="29" t="s">
        <v>176</v>
      </c>
      <c r="X75" s="29" t="s">
        <v>43</v>
      </c>
      <c r="Y75" s="29" t="s">
        <v>44</v>
      </c>
      <c r="Z75" s="30" t="s">
        <v>177</v>
      </c>
      <c r="AA75" s="85" t="s">
        <v>46</v>
      </c>
    </row>
    <row r="76" spans="1:27" s="6" customFormat="1" ht="42.75" customHeight="1" x14ac:dyDescent="0.25">
      <c r="A76" s="55" t="s">
        <v>172</v>
      </c>
      <c r="B76" s="56">
        <v>81111811</v>
      </c>
      <c r="C76" s="57" t="s">
        <v>234</v>
      </c>
      <c r="D76" s="93"/>
      <c r="E76" s="58">
        <v>44124</v>
      </c>
      <c r="F76" s="76" t="s">
        <v>223</v>
      </c>
      <c r="G76" s="76" t="s">
        <v>223</v>
      </c>
      <c r="H76" s="67"/>
      <c r="I76" s="61"/>
      <c r="J76" s="62" t="s">
        <v>72</v>
      </c>
      <c r="K76" s="62" t="s">
        <v>204</v>
      </c>
      <c r="L76" s="94" t="s">
        <v>37</v>
      </c>
      <c r="M76" s="64">
        <f t="shared" si="1"/>
        <v>729148743</v>
      </c>
      <c r="N76" s="64">
        <f t="shared" si="2"/>
        <v>729148743</v>
      </c>
      <c r="O76" s="64">
        <v>218744623</v>
      </c>
      <c r="P76" s="64">
        <v>510404120</v>
      </c>
      <c r="Q76" s="64"/>
      <c r="R76" s="64"/>
      <c r="S76" s="33" t="s">
        <v>38</v>
      </c>
      <c r="T76" s="33" t="s">
        <v>39</v>
      </c>
      <c r="U76" s="33"/>
      <c r="V76" s="33"/>
      <c r="W76" s="33" t="s">
        <v>176</v>
      </c>
      <c r="X76" s="33" t="s">
        <v>43</v>
      </c>
      <c r="Y76" s="33" t="s">
        <v>44</v>
      </c>
      <c r="Z76" s="48" t="s">
        <v>177</v>
      </c>
      <c r="AA76" s="95" t="s">
        <v>46</v>
      </c>
    </row>
    <row r="77" spans="1:27" s="6" customFormat="1" ht="57" customHeight="1" x14ac:dyDescent="0.25">
      <c r="A77" s="17" t="s">
        <v>172</v>
      </c>
      <c r="B77" s="18">
        <v>81112501</v>
      </c>
      <c r="C77" s="19" t="s">
        <v>235</v>
      </c>
      <c r="D77" s="19"/>
      <c r="E77" s="20">
        <v>43847</v>
      </c>
      <c r="F77" s="29" t="s">
        <v>157</v>
      </c>
      <c r="G77" s="54" t="s">
        <v>104</v>
      </c>
      <c r="H77" s="18">
        <v>9</v>
      </c>
      <c r="I77" s="23" t="s">
        <v>34</v>
      </c>
      <c r="J77" s="19" t="s">
        <v>179</v>
      </c>
      <c r="K77" s="29" t="s">
        <v>204</v>
      </c>
      <c r="L77" s="24" t="s">
        <v>37</v>
      </c>
      <c r="M77" s="26">
        <f t="shared" si="1"/>
        <v>139096848</v>
      </c>
      <c r="N77" s="26">
        <f t="shared" si="2"/>
        <v>139096848</v>
      </c>
      <c r="O77" s="26">
        <f>99316103-8903152</f>
        <v>90412951</v>
      </c>
      <c r="P77" s="26">
        <v>48683897</v>
      </c>
      <c r="Q77" s="26"/>
      <c r="R77" s="26"/>
      <c r="S77" s="29" t="s">
        <v>38</v>
      </c>
      <c r="T77" s="29" t="s">
        <v>39</v>
      </c>
      <c r="U77" s="29" t="s">
        <v>40</v>
      </c>
      <c r="V77" s="29" t="s">
        <v>236</v>
      </c>
      <c r="W77" s="29" t="s">
        <v>176</v>
      </c>
      <c r="X77" s="29" t="s">
        <v>43</v>
      </c>
      <c r="Y77" s="29" t="s">
        <v>44</v>
      </c>
      <c r="Z77" s="30" t="s">
        <v>177</v>
      </c>
      <c r="AA77" s="85" t="s">
        <v>46</v>
      </c>
    </row>
    <row r="78" spans="1:27" s="6" customFormat="1" ht="57" customHeight="1" x14ac:dyDescent="0.25">
      <c r="A78" s="34" t="s">
        <v>172</v>
      </c>
      <c r="B78" s="35">
        <v>81112501</v>
      </c>
      <c r="C78" s="36" t="s">
        <v>237</v>
      </c>
      <c r="D78" s="36"/>
      <c r="E78" s="80">
        <v>44098</v>
      </c>
      <c r="F78" s="42" t="s">
        <v>71</v>
      </c>
      <c r="G78" s="117" t="s">
        <v>71</v>
      </c>
      <c r="H78" s="35"/>
      <c r="I78" s="41"/>
      <c r="J78" s="36" t="s">
        <v>72</v>
      </c>
      <c r="K78" s="42" t="s">
        <v>204</v>
      </c>
      <c r="L78" s="43" t="s">
        <v>37</v>
      </c>
      <c r="M78" s="44">
        <f t="shared" si="1"/>
        <v>47758574</v>
      </c>
      <c r="N78" s="44">
        <f t="shared" si="2"/>
        <v>47758574</v>
      </c>
      <c r="O78" s="44">
        <v>14327572</v>
      </c>
      <c r="P78" s="44">
        <v>33431002</v>
      </c>
      <c r="Q78" s="44"/>
      <c r="R78" s="44"/>
      <c r="S78" s="42" t="s">
        <v>38</v>
      </c>
      <c r="T78" s="42" t="s">
        <v>39</v>
      </c>
      <c r="U78" s="42" t="s">
        <v>52</v>
      </c>
      <c r="V78" s="42" t="s">
        <v>236</v>
      </c>
      <c r="W78" s="42" t="s">
        <v>176</v>
      </c>
      <c r="X78" s="42" t="s">
        <v>43</v>
      </c>
      <c r="Y78" s="42" t="s">
        <v>44</v>
      </c>
      <c r="Z78" s="46" t="s">
        <v>177</v>
      </c>
      <c r="AA78" s="84" t="s">
        <v>46</v>
      </c>
    </row>
    <row r="79" spans="1:27" s="6" customFormat="1" ht="57" customHeight="1" x14ac:dyDescent="0.25">
      <c r="A79" s="55" t="s">
        <v>172</v>
      </c>
      <c r="B79" s="56">
        <v>81112501</v>
      </c>
      <c r="C79" s="57" t="s">
        <v>238</v>
      </c>
      <c r="D79" s="57"/>
      <c r="E79" s="135">
        <v>44104</v>
      </c>
      <c r="F79" s="136" t="s">
        <v>71</v>
      </c>
      <c r="G79" s="73" t="s">
        <v>223</v>
      </c>
      <c r="H79" s="60">
        <v>45</v>
      </c>
      <c r="I79" s="61" t="s">
        <v>190</v>
      </c>
      <c r="J79" s="57" t="s">
        <v>225</v>
      </c>
      <c r="K79" s="62" t="s">
        <v>213</v>
      </c>
      <c r="L79" s="62" t="s">
        <v>37</v>
      </c>
      <c r="M79" s="64">
        <f t="shared" si="1"/>
        <v>10000000</v>
      </c>
      <c r="N79" s="64">
        <f t="shared" si="2"/>
        <v>10000000</v>
      </c>
      <c r="O79" s="110">
        <v>3000000</v>
      </c>
      <c r="P79" s="64">
        <v>7000000</v>
      </c>
      <c r="Q79" s="64"/>
      <c r="R79" s="64"/>
      <c r="S79" s="33" t="s">
        <v>38</v>
      </c>
      <c r="T79" s="33" t="s">
        <v>39</v>
      </c>
      <c r="U79" s="33"/>
      <c r="V79" s="33" t="s">
        <v>239</v>
      </c>
      <c r="W79" s="33" t="s">
        <v>176</v>
      </c>
      <c r="X79" s="33" t="s">
        <v>43</v>
      </c>
      <c r="Y79" s="33" t="s">
        <v>44</v>
      </c>
      <c r="Z79" s="48" t="s">
        <v>177</v>
      </c>
      <c r="AA79" s="95" t="s">
        <v>46</v>
      </c>
    </row>
    <row r="80" spans="1:27" s="144" customFormat="1" ht="113.25" customHeight="1" x14ac:dyDescent="0.25">
      <c r="A80" s="17" t="s">
        <v>240</v>
      </c>
      <c r="B80" s="79" t="s">
        <v>241</v>
      </c>
      <c r="C80" s="137" t="s">
        <v>242</v>
      </c>
      <c r="D80" s="137"/>
      <c r="E80" s="20">
        <v>43846</v>
      </c>
      <c r="F80" s="21" t="s">
        <v>104</v>
      </c>
      <c r="G80" s="54" t="s">
        <v>115</v>
      </c>
      <c r="H80" s="50">
        <v>9</v>
      </c>
      <c r="I80" s="23" t="s">
        <v>34</v>
      </c>
      <c r="J80" s="138" t="s">
        <v>225</v>
      </c>
      <c r="K80" s="137" t="s">
        <v>243</v>
      </c>
      <c r="L80" s="138" t="s">
        <v>244</v>
      </c>
      <c r="M80" s="26">
        <f t="shared" si="1"/>
        <v>1832094</v>
      </c>
      <c r="N80" s="26">
        <f t="shared" si="2"/>
        <v>1832094</v>
      </c>
      <c r="O80" s="139">
        <f>2185454-353360</f>
        <v>1832094</v>
      </c>
      <c r="P80" s="139"/>
      <c r="Q80" s="139"/>
      <c r="R80" s="139"/>
      <c r="S80" s="140" t="s">
        <v>38</v>
      </c>
      <c r="T80" s="141" t="s">
        <v>39</v>
      </c>
      <c r="U80" s="140" t="s">
        <v>40</v>
      </c>
      <c r="V80" s="79" t="s">
        <v>245</v>
      </c>
      <c r="W80" s="142" t="s">
        <v>176</v>
      </c>
      <c r="X80" s="141" t="s">
        <v>246</v>
      </c>
      <c r="Y80" s="141" t="s">
        <v>44</v>
      </c>
      <c r="Z80" s="141" t="s">
        <v>177</v>
      </c>
      <c r="AA80" s="143" t="s">
        <v>46</v>
      </c>
    </row>
    <row r="81" spans="1:27" ht="57" customHeight="1" x14ac:dyDescent="0.25">
      <c r="A81" s="17" t="s">
        <v>240</v>
      </c>
      <c r="B81" s="79" t="s">
        <v>247</v>
      </c>
      <c r="C81" s="137" t="s">
        <v>248</v>
      </c>
      <c r="D81" s="137"/>
      <c r="E81" s="20">
        <v>43868</v>
      </c>
      <c r="F81" s="137" t="s">
        <v>104</v>
      </c>
      <c r="G81" s="54" t="s">
        <v>91</v>
      </c>
      <c r="H81" s="145">
        <v>9</v>
      </c>
      <c r="I81" s="23" t="s">
        <v>34</v>
      </c>
      <c r="J81" s="138" t="s">
        <v>249</v>
      </c>
      <c r="K81" s="137" t="s">
        <v>250</v>
      </c>
      <c r="L81" s="138" t="s">
        <v>251</v>
      </c>
      <c r="M81" s="26">
        <f t="shared" si="1"/>
        <v>62991000</v>
      </c>
      <c r="N81" s="26">
        <f t="shared" si="2"/>
        <v>62991000</v>
      </c>
      <c r="O81" s="139">
        <f>68291060-5300060</f>
        <v>62991000</v>
      </c>
      <c r="P81" s="139"/>
      <c r="Q81" s="139"/>
      <c r="R81" s="139"/>
      <c r="S81" s="140" t="s">
        <v>38</v>
      </c>
      <c r="T81" s="141" t="s">
        <v>39</v>
      </c>
      <c r="U81" s="140" t="s">
        <v>40</v>
      </c>
      <c r="V81" s="79" t="s">
        <v>245</v>
      </c>
      <c r="W81" s="142" t="s">
        <v>176</v>
      </c>
      <c r="X81" s="141" t="s">
        <v>246</v>
      </c>
      <c r="Y81" s="141" t="s">
        <v>44</v>
      </c>
      <c r="Z81" s="141" t="s">
        <v>182</v>
      </c>
      <c r="AA81" s="143" t="s">
        <v>46</v>
      </c>
    </row>
    <row r="82" spans="1:27" ht="57" customHeight="1" x14ac:dyDescent="0.25">
      <c r="A82" s="55" t="s">
        <v>240</v>
      </c>
      <c r="B82" s="131" t="s">
        <v>252</v>
      </c>
      <c r="C82" s="146" t="s">
        <v>253</v>
      </c>
      <c r="D82" s="146"/>
      <c r="E82" s="58"/>
      <c r="F82" s="146"/>
      <c r="G82" s="59"/>
      <c r="H82" s="147"/>
      <c r="I82" s="61"/>
      <c r="J82" s="148"/>
      <c r="K82" s="146" t="s">
        <v>250</v>
      </c>
      <c r="L82" s="148" t="s">
        <v>254</v>
      </c>
      <c r="M82" s="64">
        <f>+N82+Q82+R82</f>
        <v>5300060</v>
      </c>
      <c r="N82" s="64">
        <f t="shared" si="2"/>
        <v>5300060</v>
      </c>
      <c r="O82" s="149">
        <f>68291060-62991000</f>
        <v>5300060</v>
      </c>
      <c r="P82" s="149"/>
      <c r="Q82" s="149"/>
      <c r="R82" s="149"/>
      <c r="S82" s="150"/>
      <c r="T82" s="151"/>
      <c r="U82" s="131" t="s">
        <v>75</v>
      </c>
      <c r="V82" s="131"/>
      <c r="W82" s="152"/>
      <c r="X82" s="151"/>
      <c r="Y82" s="151"/>
      <c r="Z82" s="151"/>
      <c r="AA82" s="153"/>
    </row>
    <row r="83" spans="1:27" ht="75" customHeight="1" x14ac:dyDescent="0.3">
      <c r="A83" s="17" t="s">
        <v>240</v>
      </c>
      <c r="B83" s="79" t="s">
        <v>255</v>
      </c>
      <c r="C83" s="137" t="s">
        <v>256</v>
      </c>
      <c r="D83" s="137"/>
      <c r="E83" s="20">
        <v>43868</v>
      </c>
      <c r="F83" s="137" t="s">
        <v>104</v>
      </c>
      <c r="G83" s="54" t="s">
        <v>91</v>
      </c>
      <c r="H83" s="54">
        <v>1</v>
      </c>
      <c r="I83" s="23" t="s">
        <v>34</v>
      </c>
      <c r="J83" s="138" t="s">
        <v>225</v>
      </c>
      <c r="K83" s="137" t="s">
        <v>257</v>
      </c>
      <c r="L83" s="138" t="s">
        <v>258</v>
      </c>
      <c r="M83" s="26">
        <f t="shared" si="1"/>
        <v>34046877</v>
      </c>
      <c r="N83" s="26">
        <f t="shared" si="2"/>
        <v>34046877</v>
      </c>
      <c r="O83" s="139">
        <f>68831207+7473649+1524390+7700000-49021639-2460730</f>
        <v>34046877</v>
      </c>
      <c r="P83" s="139"/>
      <c r="Q83" s="139"/>
      <c r="R83" s="139"/>
      <c r="S83" s="154" t="s">
        <v>38</v>
      </c>
      <c r="T83" s="141" t="s">
        <v>39</v>
      </c>
      <c r="U83" s="140" t="s">
        <v>40</v>
      </c>
      <c r="V83" s="79" t="s">
        <v>245</v>
      </c>
      <c r="W83" s="142" t="s">
        <v>176</v>
      </c>
      <c r="X83" s="141" t="s">
        <v>246</v>
      </c>
      <c r="Y83" s="141" t="s">
        <v>44</v>
      </c>
      <c r="Z83" s="141" t="s">
        <v>259</v>
      </c>
      <c r="AA83" s="143" t="s">
        <v>46</v>
      </c>
    </row>
    <row r="84" spans="1:27" ht="75" customHeight="1" x14ac:dyDescent="0.3">
      <c r="A84" s="55" t="s">
        <v>240</v>
      </c>
      <c r="B84" s="131" t="s">
        <v>255</v>
      </c>
      <c r="C84" s="146" t="s">
        <v>260</v>
      </c>
      <c r="D84" s="146"/>
      <c r="E84" s="58"/>
      <c r="F84" s="146"/>
      <c r="G84" s="59"/>
      <c r="H84" s="59"/>
      <c r="I84" s="61"/>
      <c r="J84" s="148"/>
      <c r="K84" s="146" t="s">
        <v>257</v>
      </c>
      <c r="L84" s="148" t="s">
        <v>258</v>
      </c>
      <c r="M84" s="64">
        <f>+N84+Q84+R84</f>
        <v>2460730</v>
      </c>
      <c r="N84" s="64">
        <f t="shared" si="2"/>
        <v>2460730</v>
      </c>
      <c r="O84" s="149">
        <f>68831207+7473649+1524390+7700000-49021639-34046877</f>
        <v>2460730</v>
      </c>
      <c r="P84" s="149"/>
      <c r="Q84" s="149"/>
      <c r="R84" s="149"/>
      <c r="S84" s="155"/>
      <c r="T84" s="151"/>
      <c r="U84" s="131" t="s">
        <v>75</v>
      </c>
      <c r="V84" s="131" t="s">
        <v>245</v>
      </c>
      <c r="W84" s="152" t="s">
        <v>176</v>
      </c>
      <c r="X84" s="151" t="s">
        <v>246</v>
      </c>
      <c r="Y84" s="151" t="s">
        <v>44</v>
      </c>
      <c r="Z84" s="151" t="s">
        <v>259</v>
      </c>
      <c r="AA84" s="153" t="s">
        <v>46</v>
      </c>
    </row>
    <row r="85" spans="1:27" ht="71.25" customHeight="1" x14ac:dyDescent="0.3">
      <c r="A85" s="34" t="s">
        <v>240</v>
      </c>
      <c r="B85" s="112" t="s">
        <v>261</v>
      </c>
      <c r="C85" s="156" t="s">
        <v>262</v>
      </c>
      <c r="D85" s="156"/>
      <c r="E85" s="80">
        <v>43868</v>
      </c>
      <c r="F85" s="157" t="s">
        <v>50</v>
      </c>
      <c r="G85" s="158" t="s">
        <v>71</v>
      </c>
      <c r="H85" s="158">
        <v>80</v>
      </c>
      <c r="I85" s="159" t="s">
        <v>28</v>
      </c>
      <c r="J85" s="160" t="s">
        <v>249</v>
      </c>
      <c r="K85" s="156" t="s">
        <v>263</v>
      </c>
      <c r="L85" s="160" t="s">
        <v>251</v>
      </c>
      <c r="M85" s="44">
        <f t="shared" si="1"/>
        <v>136535000</v>
      </c>
      <c r="N85" s="44">
        <f t="shared" si="2"/>
        <v>136535000</v>
      </c>
      <c r="O85" s="161">
        <f>141535000+34000000-39000000</f>
        <v>136535000</v>
      </c>
      <c r="P85" s="161"/>
      <c r="Q85" s="161"/>
      <c r="R85" s="161"/>
      <c r="S85" s="162" t="s">
        <v>38</v>
      </c>
      <c r="T85" s="163" t="s">
        <v>39</v>
      </c>
      <c r="U85" s="164" t="s">
        <v>52</v>
      </c>
      <c r="V85" s="112" t="s">
        <v>245</v>
      </c>
      <c r="W85" s="156" t="s">
        <v>42</v>
      </c>
      <c r="X85" s="163" t="s">
        <v>43</v>
      </c>
      <c r="Y85" s="163" t="s">
        <v>44</v>
      </c>
      <c r="Z85" s="163" t="s">
        <v>264</v>
      </c>
      <c r="AA85" s="165" t="s">
        <v>46</v>
      </c>
    </row>
    <row r="86" spans="1:27" ht="57" customHeight="1" x14ac:dyDescent="0.3">
      <c r="A86" s="55" t="s">
        <v>240</v>
      </c>
      <c r="B86" s="131" t="s">
        <v>261</v>
      </c>
      <c r="C86" s="146" t="s">
        <v>265</v>
      </c>
      <c r="D86" s="146"/>
      <c r="E86" s="58"/>
      <c r="F86" s="131"/>
      <c r="G86" s="59"/>
      <c r="H86" s="59"/>
      <c r="I86" s="61"/>
      <c r="J86" s="148"/>
      <c r="K86" s="146" t="s">
        <v>263</v>
      </c>
      <c r="L86" s="148" t="s">
        <v>251</v>
      </c>
      <c r="M86" s="64">
        <f t="shared" ref="M86:M176" si="3">+N86+Q86+R86</f>
        <v>5000000</v>
      </c>
      <c r="N86" s="64">
        <f t="shared" si="2"/>
        <v>5000000</v>
      </c>
      <c r="O86" s="149">
        <v>5000000</v>
      </c>
      <c r="P86" s="149"/>
      <c r="Q86" s="149"/>
      <c r="R86" s="149"/>
      <c r="S86" s="155"/>
      <c r="T86" s="151"/>
      <c r="U86" s="131" t="s">
        <v>75</v>
      </c>
      <c r="V86" s="131" t="s">
        <v>245</v>
      </c>
      <c r="W86" s="152" t="s">
        <v>42</v>
      </c>
      <c r="X86" s="151" t="s">
        <v>43</v>
      </c>
      <c r="Y86" s="151" t="s">
        <v>44</v>
      </c>
      <c r="Z86" s="151" t="s">
        <v>266</v>
      </c>
      <c r="AA86" s="153" t="s">
        <v>46</v>
      </c>
    </row>
    <row r="87" spans="1:27" ht="57" customHeight="1" x14ac:dyDescent="0.25">
      <c r="A87" s="55" t="s">
        <v>240</v>
      </c>
      <c r="B87" s="131" t="s">
        <v>261</v>
      </c>
      <c r="C87" s="146" t="s">
        <v>267</v>
      </c>
      <c r="D87" s="146"/>
      <c r="E87" s="58"/>
      <c r="F87" s="76"/>
      <c r="G87" s="59"/>
      <c r="H87" s="59"/>
      <c r="I87" s="61"/>
      <c r="J87" s="148"/>
      <c r="K87" s="146" t="s">
        <v>263</v>
      </c>
      <c r="L87" s="148" t="s">
        <v>251</v>
      </c>
      <c r="M87" s="64">
        <f t="shared" si="3"/>
        <v>2850000</v>
      </c>
      <c r="N87" s="64">
        <f t="shared" si="2"/>
        <v>2850000</v>
      </c>
      <c r="O87" s="149">
        <v>2850000</v>
      </c>
      <c r="P87" s="149"/>
      <c r="Q87" s="149"/>
      <c r="R87" s="149"/>
      <c r="S87" s="166" t="s">
        <v>38</v>
      </c>
      <c r="T87" s="150" t="s">
        <v>39</v>
      </c>
      <c r="U87" s="131" t="s">
        <v>75</v>
      </c>
      <c r="V87" s="131" t="s">
        <v>245</v>
      </c>
      <c r="W87" s="152" t="s">
        <v>42</v>
      </c>
      <c r="X87" s="151" t="s">
        <v>43</v>
      </c>
      <c r="Y87" s="151" t="s">
        <v>44</v>
      </c>
      <c r="Z87" s="151" t="s">
        <v>268</v>
      </c>
      <c r="AA87" s="153" t="s">
        <v>46</v>
      </c>
    </row>
    <row r="88" spans="1:27" ht="57" customHeight="1" x14ac:dyDescent="0.25">
      <c r="A88" s="55" t="s">
        <v>240</v>
      </c>
      <c r="B88" s="131" t="s">
        <v>261</v>
      </c>
      <c r="C88" s="146" t="s">
        <v>269</v>
      </c>
      <c r="D88" s="146"/>
      <c r="E88" s="58"/>
      <c r="F88" s="131"/>
      <c r="G88" s="59"/>
      <c r="H88" s="59"/>
      <c r="I88" s="61"/>
      <c r="J88" s="148"/>
      <c r="K88" s="146" t="s">
        <v>263</v>
      </c>
      <c r="L88" s="148" t="s">
        <v>251</v>
      </c>
      <c r="M88" s="64">
        <f t="shared" si="3"/>
        <v>3500000</v>
      </c>
      <c r="N88" s="64">
        <f t="shared" si="2"/>
        <v>3500000</v>
      </c>
      <c r="O88" s="149">
        <v>3500000</v>
      </c>
      <c r="P88" s="149"/>
      <c r="Q88" s="149"/>
      <c r="R88" s="149"/>
      <c r="S88" s="166" t="s">
        <v>38</v>
      </c>
      <c r="T88" s="150" t="s">
        <v>39</v>
      </c>
      <c r="U88" s="131" t="s">
        <v>75</v>
      </c>
      <c r="V88" s="131" t="s">
        <v>245</v>
      </c>
      <c r="W88" s="152" t="s">
        <v>42</v>
      </c>
      <c r="X88" s="151" t="s">
        <v>43</v>
      </c>
      <c r="Y88" s="151" t="s">
        <v>44</v>
      </c>
      <c r="Z88" s="151" t="s">
        <v>270</v>
      </c>
      <c r="AA88" s="153" t="s">
        <v>46</v>
      </c>
    </row>
    <row r="89" spans="1:27" ht="57" customHeight="1" x14ac:dyDescent="0.25">
      <c r="A89" s="55" t="s">
        <v>240</v>
      </c>
      <c r="B89" s="131" t="s">
        <v>261</v>
      </c>
      <c r="C89" s="146" t="s">
        <v>271</v>
      </c>
      <c r="D89" s="146"/>
      <c r="E89" s="58"/>
      <c r="F89" s="131"/>
      <c r="G89" s="132"/>
      <c r="H89" s="59"/>
      <c r="I89" s="61"/>
      <c r="J89" s="148"/>
      <c r="K89" s="146" t="s">
        <v>263</v>
      </c>
      <c r="L89" s="148" t="s">
        <v>251</v>
      </c>
      <c r="M89" s="64">
        <f t="shared" si="3"/>
        <v>4250000</v>
      </c>
      <c r="N89" s="64">
        <f t="shared" si="2"/>
        <v>4250000</v>
      </c>
      <c r="O89" s="149">
        <v>4250000</v>
      </c>
      <c r="P89" s="149"/>
      <c r="Q89" s="149"/>
      <c r="R89" s="149"/>
      <c r="S89" s="166" t="s">
        <v>38</v>
      </c>
      <c r="T89" s="150" t="s">
        <v>39</v>
      </c>
      <c r="U89" s="131" t="s">
        <v>75</v>
      </c>
      <c r="V89" s="131" t="s">
        <v>245</v>
      </c>
      <c r="W89" s="152" t="s">
        <v>42</v>
      </c>
      <c r="X89" s="151" t="s">
        <v>43</v>
      </c>
      <c r="Y89" s="151" t="s">
        <v>44</v>
      </c>
      <c r="Z89" s="151" t="s">
        <v>272</v>
      </c>
      <c r="AA89" s="153" t="s">
        <v>46</v>
      </c>
    </row>
    <row r="90" spans="1:27" ht="57" customHeight="1" x14ac:dyDescent="0.25">
      <c r="A90" s="55" t="s">
        <v>240</v>
      </c>
      <c r="B90" s="131" t="s">
        <v>261</v>
      </c>
      <c r="C90" s="146" t="s">
        <v>273</v>
      </c>
      <c r="D90" s="146"/>
      <c r="E90" s="58">
        <v>44089</v>
      </c>
      <c r="F90" s="33" t="s">
        <v>115</v>
      </c>
      <c r="G90" s="33" t="s">
        <v>115</v>
      </c>
      <c r="H90" s="59">
        <v>1</v>
      </c>
      <c r="I90" s="61" t="s">
        <v>34</v>
      </c>
      <c r="J90" s="148" t="s">
        <v>35</v>
      </c>
      <c r="K90" s="146" t="s">
        <v>263</v>
      </c>
      <c r="L90" s="148" t="s">
        <v>251</v>
      </c>
      <c r="M90" s="64">
        <f t="shared" si="3"/>
        <v>8000000</v>
      </c>
      <c r="N90" s="64">
        <f t="shared" si="2"/>
        <v>8000000</v>
      </c>
      <c r="O90" s="149">
        <v>8000000</v>
      </c>
      <c r="P90" s="149"/>
      <c r="Q90" s="149"/>
      <c r="R90" s="149"/>
      <c r="S90" s="166" t="s">
        <v>38</v>
      </c>
      <c r="T90" s="150" t="s">
        <v>39</v>
      </c>
      <c r="U90" s="151"/>
      <c r="V90" s="131" t="s">
        <v>245</v>
      </c>
      <c r="W90" s="152" t="s">
        <v>42</v>
      </c>
      <c r="X90" s="151" t="s">
        <v>43</v>
      </c>
      <c r="Y90" s="151" t="s">
        <v>44</v>
      </c>
      <c r="Z90" s="151" t="s">
        <v>274</v>
      </c>
      <c r="AA90" s="153" t="s">
        <v>46</v>
      </c>
    </row>
    <row r="91" spans="1:27" ht="57" customHeight="1" x14ac:dyDescent="0.25">
      <c r="A91" s="17" t="s">
        <v>240</v>
      </c>
      <c r="B91" s="79" t="s">
        <v>275</v>
      </c>
      <c r="C91" s="137" t="s">
        <v>276</v>
      </c>
      <c r="D91" s="137"/>
      <c r="E91" s="20">
        <v>43868</v>
      </c>
      <c r="F91" s="29" t="s">
        <v>32</v>
      </c>
      <c r="G91" s="54" t="s">
        <v>209</v>
      </c>
      <c r="H91" s="167">
        <v>6</v>
      </c>
      <c r="I91" s="23" t="s">
        <v>34</v>
      </c>
      <c r="J91" s="138" t="s">
        <v>35</v>
      </c>
      <c r="K91" s="137" t="s">
        <v>277</v>
      </c>
      <c r="L91" s="138" t="s">
        <v>251</v>
      </c>
      <c r="M91" s="26">
        <f t="shared" si="3"/>
        <v>57407096</v>
      </c>
      <c r="N91" s="26">
        <f t="shared" si="2"/>
        <v>57407096</v>
      </c>
      <c r="O91" s="139">
        <f>149457409-92050313</f>
        <v>57407096</v>
      </c>
      <c r="P91" s="26">
        <v>0</v>
      </c>
      <c r="Q91" s="139"/>
      <c r="R91" s="139"/>
      <c r="S91" s="168" t="s">
        <v>38</v>
      </c>
      <c r="T91" s="140" t="s">
        <v>39</v>
      </c>
      <c r="U91" s="140" t="s">
        <v>40</v>
      </c>
      <c r="V91" s="79" t="s">
        <v>245</v>
      </c>
      <c r="W91" s="142" t="s">
        <v>42</v>
      </c>
      <c r="X91" s="141" t="s">
        <v>43</v>
      </c>
      <c r="Y91" s="141" t="s">
        <v>44</v>
      </c>
      <c r="Z91" s="141" t="s">
        <v>278</v>
      </c>
      <c r="AA91" s="143" t="s">
        <v>46</v>
      </c>
    </row>
    <row r="92" spans="1:27" ht="57" customHeight="1" x14ac:dyDescent="0.25">
      <c r="A92" s="55" t="s">
        <v>240</v>
      </c>
      <c r="B92" s="131" t="s">
        <v>275</v>
      </c>
      <c r="C92" s="146" t="s">
        <v>279</v>
      </c>
      <c r="D92" s="146"/>
      <c r="E92" s="58"/>
      <c r="F92" s="33"/>
      <c r="G92" s="59"/>
      <c r="H92" s="169"/>
      <c r="I92" s="61"/>
      <c r="J92" s="148"/>
      <c r="K92" s="146" t="s">
        <v>277</v>
      </c>
      <c r="L92" s="148" t="s">
        <v>251</v>
      </c>
      <c r="M92" s="99">
        <f>+N92+Q92+R92</f>
        <v>9057813</v>
      </c>
      <c r="N92" s="99">
        <f t="shared" si="2"/>
        <v>9057813</v>
      </c>
      <c r="O92" s="170">
        <f>149457409-57407096-82992500</f>
        <v>9057813</v>
      </c>
      <c r="P92" s="64">
        <v>0</v>
      </c>
      <c r="Q92" s="149"/>
      <c r="R92" s="149"/>
      <c r="S92" s="166"/>
      <c r="T92" s="150"/>
      <c r="U92" s="151" t="s">
        <v>75</v>
      </c>
      <c r="V92" s="131" t="s">
        <v>245</v>
      </c>
      <c r="W92" s="152" t="s">
        <v>42</v>
      </c>
      <c r="X92" s="151" t="s">
        <v>43</v>
      </c>
      <c r="Y92" s="151" t="s">
        <v>44</v>
      </c>
      <c r="Z92" s="151" t="s">
        <v>278</v>
      </c>
      <c r="AA92" s="153" t="s">
        <v>46</v>
      </c>
    </row>
    <row r="93" spans="1:27" ht="91.5" customHeight="1" x14ac:dyDescent="0.25">
      <c r="A93" s="55" t="s">
        <v>240</v>
      </c>
      <c r="B93" s="131" t="s">
        <v>280</v>
      </c>
      <c r="C93" s="146" t="s">
        <v>281</v>
      </c>
      <c r="D93" s="146"/>
      <c r="E93" s="58">
        <v>44074</v>
      </c>
      <c r="F93" s="33" t="s">
        <v>50</v>
      </c>
      <c r="G93" s="59" t="s">
        <v>50</v>
      </c>
      <c r="H93" s="169">
        <v>1</v>
      </c>
      <c r="I93" s="61" t="s">
        <v>34</v>
      </c>
      <c r="J93" s="148" t="s">
        <v>203</v>
      </c>
      <c r="K93" s="146" t="s">
        <v>282</v>
      </c>
      <c r="L93" s="148" t="s">
        <v>283</v>
      </c>
      <c r="M93" s="64">
        <f>+N93+Q93+R93</f>
        <v>108742500</v>
      </c>
      <c r="N93" s="64">
        <f t="shared" si="2"/>
        <v>108742500</v>
      </c>
      <c r="O93" s="149">
        <f>25750000+82992500</f>
        <v>108742500</v>
      </c>
      <c r="P93" s="64">
        <v>0</v>
      </c>
      <c r="Q93" s="149"/>
      <c r="R93" s="149"/>
      <c r="S93" s="166" t="s">
        <v>38</v>
      </c>
      <c r="T93" s="150" t="s">
        <v>39</v>
      </c>
      <c r="U93" s="151"/>
      <c r="V93" s="131" t="s">
        <v>245</v>
      </c>
      <c r="W93" s="152" t="s">
        <v>42</v>
      </c>
      <c r="X93" s="151" t="s">
        <v>43</v>
      </c>
      <c r="Y93" s="151" t="s">
        <v>44</v>
      </c>
      <c r="Z93" s="151" t="s">
        <v>278</v>
      </c>
      <c r="AA93" s="153" t="s">
        <v>46</v>
      </c>
    </row>
    <row r="94" spans="1:27" ht="91.5" customHeight="1" x14ac:dyDescent="0.25">
      <c r="A94" s="55" t="s">
        <v>240</v>
      </c>
      <c r="B94" s="131" t="s">
        <v>284</v>
      </c>
      <c r="C94" s="146" t="s">
        <v>285</v>
      </c>
      <c r="D94" s="146"/>
      <c r="E94" s="58">
        <v>44104</v>
      </c>
      <c r="F94" s="33" t="s">
        <v>71</v>
      </c>
      <c r="G94" s="59" t="s">
        <v>71</v>
      </c>
      <c r="H94" s="169">
        <v>3</v>
      </c>
      <c r="I94" s="61" t="s">
        <v>34</v>
      </c>
      <c r="J94" s="148" t="s">
        <v>225</v>
      </c>
      <c r="K94" s="146" t="s">
        <v>286</v>
      </c>
      <c r="L94" s="148" t="s">
        <v>287</v>
      </c>
      <c r="M94" s="64">
        <f>+N94+Q94+R94</f>
        <v>39000000</v>
      </c>
      <c r="N94" s="64">
        <f t="shared" si="2"/>
        <v>39000000</v>
      </c>
      <c r="O94" s="149">
        <v>39000000</v>
      </c>
      <c r="P94" s="99">
        <v>0</v>
      </c>
      <c r="Q94" s="149"/>
      <c r="R94" s="149"/>
      <c r="S94" s="166" t="s">
        <v>38</v>
      </c>
      <c r="T94" s="150" t="s">
        <v>39</v>
      </c>
      <c r="U94" s="151"/>
      <c r="V94" s="131" t="s">
        <v>245</v>
      </c>
      <c r="W94" s="152" t="s">
        <v>42</v>
      </c>
      <c r="X94" s="151" t="s">
        <v>43</v>
      </c>
      <c r="Y94" s="151" t="s">
        <v>44</v>
      </c>
      <c r="Z94" s="151" t="s">
        <v>278</v>
      </c>
      <c r="AA94" s="153" t="s">
        <v>46</v>
      </c>
    </row>
    <row r="95" spans="1:27" ht="42.75" customHeight="1" x14ac:dyDescent="0.25">
      <c r="A95" s="17" t="s">
        <v>240</v>
      </c>
      <c r="B95" s="18">
        <v>90121502</v>
      </c>
      <c r="C95" s="19" t="s">
        <v>288</v>
      </c>
      <c r="D95" s="49">
        <v>44074</v>
      </c>
      <c r="E95" s="20"/>
      <c r="F95" s="21" t="s">
        <v>33</v>
      </c>
      <c r="G95" s="21" t="s">
        <v>33</v>
      </c>
      <c r="H95" s="53">
        <v>12</v>
      </c>
      <c r="I95" s="23" t="s">
        <v>34</v>
      </c>
      <c r="J95" s="24" t="s">
        <v>55</v>
      </c>
      <c r="K95" s="24" t="s">
        <v>289</v>
      </c>
      <c r="L95" s="89" t="s">
        <v>290</v>
      </c>
      <c r="M95" s="26">
        <f t="shared" si="3"/>
        <v>1386243400</v>
      </c>
      <c r="N95" s="26">
        <f t="shared" si="2"/>
        <v>1386243400</v>
      </c>
      <c r="O95" s="26">
        <v>842797000</v>
      </c>
      <c r="P95" s="26">
        <v>543446400</v>
      </c>
      <c r="Q95" s="26"/>
      <c r="R95" s="26"/>
      <c r="S95" s="29" t="s">
        <v>291</v>
      </c>
      <c r="T95" s="29" t="s">
        <v>99</v>
      </c>
      <c r="U95" s="29" t="s">
        <v>57</v>
      </c>
      <c r="V95" s="29" t="s">
        <v>245</v>
      </c>
      <c r="W95" s="29" t="s">
        <v>42</v>
      </c>
      <c r="X95" s="29" t="s">
        <v>43</v>
      </c>
      <c r="Y95" s="29" t="s">
        <v>44</v>
      </c>
      <c r="Z95" s="30" t="s">
        <v>292</v>
      </c>
      <c r="AA95" s="85" t="s">
        <v>46</v>
      </c>
    </row>
    <row r="96" spans="1:27" ht="57" customHeight="1" x14ac:dyDescent="0.25">
      <c r="A96" s="55" t="s">
        <v>240</v>
      </c>
      <c r="B96" s="131">
        <v>90121502</v>
      </c>
      <c r="C96" s="146" t="s">
        <v>293</v>
      </c>
      <c r="D96" s="146" t="s">
        <v>166</v>
      </c>
      <c r="E96" s="58">
        <v>44075</v>
      </c>
      <c r="F96" s="76" t="s">
        <v>71</v>
      </c>
      <c r="G96" s="132" t="s">
        <v>71</v>
      </c>
      <c r="H96" s="169">
        <v>16.600000000000001</v>
      </c>
      <c r="I96" s="61" t="s">
        <v>34</v>
      </c>
      <c r="J96" s="57" t="s">
        <v>179</v>
      </c>
      <c r="K96" s="146" t="s">
        <v>289</v>
      </c>
      <c r="L96" s="148" t="s">
        <v>290</v>
      </c>
      <c r="M96" s="64">
        <f t="shared" si="3"/>
        <v>2419485222</v>
      </c>
      <c r="N96" s="64">
        <f t="shared" si="2"/>
        <v>281508648</v>
      </c>
      <c r="O96" s="149">
        <f>231902000-53846528</f>
        <v>178055472</v>
      </c>
      <c r="P96" s="149">
        <f>129999970-26546794</f>
        <v>103453176</v>
      </c>
      <c r="Q96" s="149">
        <v>1739723436</v>
      </c>
      <c r="R96" s="149">
        <v>398253138</v>
      </c>
      <c r="S96" s="33" t="s">
        <v>188</v>
      </c>
      <c r="T96" s="151" t="s">
        <v>180</v>
      </c>
      <c r="U96" s="151"/>
      <c r="V96" s="131" t="s">
        <v>245</v>
      </c>
      <c r="W96" s="152" t="s">
        <v>42</v>
      </c>
      <c r="X96" s="151" t="s">
        <v>43</v>
      </c>
      <c r="Y96" s="151" t="s">
        <v>44</v>
      </c>
      <c r="Z96" s="151" t="s">
        <v>292</v>
      </c>
      <c r="AA96" s="153" t="s">
        <v>46</v>
      </c>
    </row>
    <row r="97" spans="1:27" ht="57" customHeight="1" x14ac:dyDescent="0.25">
      <c r="A97" s="55" t="s">
        <v>240</v>
      </c>
      <c r="B97" s="131">
        <v>90121502</v>
      </c>
      <c r="C97" s="146" t="s">
        <v>294</v>
      </c>
      <c r="D97" s="146"/>
      <c r="E97" s="58"/>
      <c r="F97" s="76"/>
      <c r="G97" s="132"/>
      <c r="H97" s="169"/>
      <c r="I97" s="61"/>
      <c r="J97" s="57"/>
      <c r="K97" s="146" t="s">
        <v>289</v>
      </c>
      <c r="L97" s="148" t="s">
        <v>290</v>
      </c>
      <c r="M97" s="64">
        <f>+N97+Q97+R97</f>
        <v>80393322</v>
      </c>
      <c r="N97" s="64">
        <f t="shared" si="2"/>
        <v>80393322</v>
      </c>
      <c r="O97" s="149">
        <v>53846528</v>
      </c>
      <c r="P97" s="149">
        <v>26546794</v>
      </c>
      <c r="Q97" s="149"/>
      <c r="R97" s="149"/>
      <c r="S97" s="33"/>
      <c r="T97" s="151"/>
      <c r="U97" s="131" t="s">
        <v>75</v>
      </c>
      <c r="V97" s="131" t="s">
        <v>245</v>
      </c>
      <c r="W97" s="152" t="s">
        <v>42</v>
      </c>
      <c r="X97" s="151" t="s">
        <v>43</v>
      </c>
      <c r="Y97" s="151" t="s">
        <v>44</v>
      </c>
      <c r="Z97" s="151" t="s">
        <v>292</v>
      </c>
      <c r="AA97" s="153" t="s">
        <v>46</v>
      </c>
    </row>
    <row r="98" spans="1:27" ht="42.75" customHeight="1" x14ac:dyDescent="0.25">
      <c r="A98" s="17" t="s">
        <v>240</v>
      </c>
      <c r="B98" s="79">
        <v>43231505</v>
      </c>
      <c r="C98" s="137" t="s">
        <v>295</v>
      </c>
      <c r="D98" s="137"/>
      <c r="E98" s="20">
        <v>43868</v>
      </c>
      <c r="F98" s="54" t="s">
        <v>104</v>
      </c>
      <c r="G98" s="54" t="s">
        <v>104</v>
      </c>
      <c r="H98" s="167">
        <v>11</v>
      </c>
      <c r="I98" s="23" t="s">
        <v>34</v>
      </c>
      <c r="J98" s="138" t="s">
        <v>35</v>
      </c>
      <c r="K98" s="137" t="s">
        <v>296</v>
      </c>
      <c r="L98" s="138" t="s">
        <v>297</v>
      </c>
      <c r="M98" s="26">
        <f t="shared" si="3"/>
        <v>96339068</v>
      </c>
      <c r="N98" s="26">
        <f t="shared" si="2"/>
        <v>96339068</v>
      </c>
      <c r="O98" s="171">
        <f>106472000- 10132932</f>
        <v>96339068</v>
      </c>
      <c r="P98" s="139"/>
      <c r="Q98" s="139"/>
      <c r="R98" s="139"/>
      <c r="S98" s="168" t="s">
        <v>38</v>
      </c>
      <c r="T98" s="140" t="s">
        <v>39</v>
      </c>
      <c r="U98" s="140" t="s">
        <v>40</v>
      </c>
      <c r="V98" s="79" t="s">
        <v>245</v>
      </c>
      <c r="W98" s="142" t="s">
        <v>42</v>
      </c>
      <c r="X98" s="141" t="s">
        <v>43</v>
      </c>
      <c r="Y98" s="141" t="s">
        <v>44</v>
      </c>
      <c r="Z98" s="141" t="s">
        <v>292</v>
      </c>
      <c r="AA98" s="143" t="s">
        <v>46</v>
      </c>
    </row>
    <row r="99" spans="1:27" ht="85" customHeight="1" x14ac:dyDescent="0.25">
      <c r="A99" s="17" t="s">
        <v>240</v>
      </c>
      <c r="B99" s="79" t="s">
        <v>298</v>
      </c>
      <c r="C99" s="137" t="s">
        <v>299</v>
      </c>
      <c r="D99" s="137"/>
      <c r="E99" s="20">
        <v>43982</v>
      </c>
      <c r="F99" s="79" t="s">
        <v>59</v>
      </c>
      <c r="G99" s="54" t="s">
        <v>32</v>
      </c>
      <c r="H99" s="167">
        <v>1</v>
      </c>
      <c r="I99" s="23" t="s">
        <v>34</v>
      </c>
      <c r="J99" s="138" t="s">
        <v>179</v>
      </c>
      <c r="K99" s="137" t="s">
        <v>300</v>
      </c>
      <c r="L99" s="138" t="s">
        <v>301</v>
      </c>
      <c r="M99" s="26">
        <f>+N99+Q99+R99</f>
        <v>364148394</v>
      </c>
      <c r="N99" s="26">
        <f t="shared" si="2"/>
        <v>364148394</v>
      </c>
      <c r="O99" s="139">
        <f>224424480+137543820-154542992</f>
        <v>207425308</v>
      </c>
      <c r="P99" s="139">
        <f>274729861-118982385+975610</f>
        <v>156723086</v>
      </c>
      <c r="Q99" s="139"/>
      <c r="R99" s="139"/>
      <c r="S99" s="168" t="s">
        <v>38</v>
      </c>
      <c r="T99" s="140" t="s">
        <v>39</v>
      </c>
      <c r="U99" s="140" t="s">
        <v>40</v>
      </c>
      <c r="V99" s="79" t="s">
        <v>245</v>
      </c>
      <c r="W99" s="142" t="s">
        <v>42</v>
      </c>
      <c r="X99" s="141" t="s">
        <v>43</v>
      </c>
      <c r="Y99" s="141" t="s">
        <v>44</v>
      </c>
      <c r="Z99" s="141" t="s">
        <v>292</v>
      </c>
      <c r="AA99" s="143" t="s">
        <v>46</v>
      </c>
    </row>
    <row r="100" spans="1:27" ht="85" customHeight="1" x14ac:dyDescent="0.25">
      <c r="A100" s="17" t="s">
        <v>240</v>
      </c>
      <c r="B100" s="79" t="s">
        <v>298</v>
      </c>
      <c r="C100" s="137" t="s">
        <v>302</v>
      </c>
      <c r="D100" s="137"/>
      <c r="E100" s="20">
        <v>44074</v>
      </c>
      <c r="F100" s="79" t="s">
        <v>33</v>
      </c>
      <c r="G100" s="54" t="s">
        <v>33</v>
      </c>
      <c r="H100" s="167">
        <v>1</v>
      </c>
      <c r="I100" s="23" t="s">
        <v>34</v>
      </c>
      <c r="J100" s="138" t="s">
        <v>72</v>
      </c>
      <c r="K100" s="137" t="s">
        <v>300</v>
      </c>
      <c r="L100" s="138" t="s">
        <v>301</v>
      </c>
      <c r="M100" s="26">
        <f>+N100+Q100+R100</f>
        <v>975610</v>
      </c>
      <c r="N100" s="91">
        <f t="shared" si="2"/>
        <v>975610</v>
      </c>
      <c r="O100" s="139"/>
      <c r="P100" s="172">
        <f>975610</f>
        <v>975610</v>
      </c>
      <c r="Q100" s="139"/>
      <c r="R100" s="139"/>
      <c r="S100" s="168" t="s">
        <v>38</v>
      </c>
      <c r="T100" s="140" t="s">
        <v>39</v>
      </c>
      <c r="U100" s="140" t="s">
        <v>40</v>
      </c>
      <c r="V100" s="79" t="s">
        <v>245</v>
      </c>
      <c r="W100" s="142" t="s">
        <v>42</v>
      </c>
      <c r="X100" s="141" t="s">
        <v>43</v>
      </c>
      <c r="Y100" s="141" t="s">
        <v>44</v>
      </c>
      <c r="Z100" s="141" t="s">
        <v>292</v>
      </c>
      <c r="AA100" s="143" t="s">
        <v>46</v>
      </c>
    </row>
    <row r="101" spans="1:27" s="6" customFormat="1" ht="85" customHeight="1" x14ac:dyDescent="0.25">
      <c r="A101" s="55" t="s">
        <v>240</v>
      </c>
      <c r="B101" s="131" t="s">
        <v>298</v>
      </c>
      <c r="C101" s="146" t="s">
        <v>303</v>
      </c>
      <c r="D101" s="146"/>
      <c r="E101" s="58"/>
      <c r="F101" s="131"/>
      <c r="G101" s="59"/>
      <c r="H101" s="169"/>
      <c r="I101" s="61"/>
      <c r="J101" s="148"/>
      <c r="K101" s="146" t="s">
        <v>300</v>
      </c>
      <c r="L101" s="148" t="s">
        <v>301</v>
      </c>
      <c r="M101" s="64">
        <f>+N101+Q101+R101</f>
        <v>272549766</v>
      </c>
      <c r="N101" s="64">
        <f>+O101+P101</f>
        <v>272549766</v>
      </c>
      <c r="O101" s="149">
        <f>224424480+137543820-207425308</f>
        <v>154542992</v>
      </c>
      <c r="P101" s="149">
        <f>274729861-155747477-975610</f>
        <v>118006774</v>
      </c>
      <c r="Q101" s="149"/>
      <c r="R101" s="149"/>
      <c r="S101" s="166" t="s">
        <v>38</v>
      </c>
      <c r="T101" s="150" t="s">
        <v>39</v>
      </c>
      <c r="U101" s="131" t="s">
        <v>75</v>
      </c>
      <c r="V101" s="131" t="s">
        <v>245</v>
      </c>
      <c r="W101" s="152" t="s">
        <v>42</v>
      </c>
      <c r="X101" s="151" t="s">
        <v>43</v>
      </c>
      <c r="Y101" s="151" t="s">
        <v>44</v>
      </c>
      <c r="Z101" s="151" t="s">
        <v>292</v>
      </c>
      <c r="AA101" s="153" t="s">
        <v>46</v>
      </c>
    </row>
    <row r="102" spans="1:27" ht="99.75" customHeight="1" x14ac:dyDescent="0.25">
      <c r="A102" s="17" t="s">
        <v>240</v>
      </c>
      <c r="B102" s="79">
        <v>80111500</v>
      </c>
      <c r="C102" s="137" t="s">
        <v>304</v>
      </c>
      <c r="D102" s="137"/>
      <c r="E102" s="20">
        <v>43861</v>
      </c>
      <c r="F102" s="21" t="s">
        <v>104</v>
      </c>
      <c r="G102" s="21" t="s">
        <v>104</v>
      </c>
      <c r="H102" s="167">
        <v>10</v>
      </c>
      <c r="I102" s="23" t="s">
        <v>34</v>
      </c>
      <c r="J102" s="138" t="s">
        <v>35</v>
      </c>
      <c r="K102" s="137" t="s">
        <v>305</v>
      </c>
      <c r="L102" s="138" t="s">
        <v>37</v>
      </c>
      <c r="M102" s="26">
        <f>+N102+P98+R102</f>
        <v>107917333</v>
      </c>
      <c r="N102" s="26">
        <f t="shared" si="2"/>
        <v>107917333</v>
      </c>
      <c r="O102" s="139">
        <f>114400000-6482667</f>
        <v>107917333</v>
      </c>
      <c r="P102" s="139"/>
      <c r="Q102" s="71"/>
      <c r="R102" s="139"/>
      <c r="S102" s="168" t="s">
        <v>38</v>
      </c>
      <c r="T102" s="140" t="s">
        <v>39</v>
      </c>
      <c r="U102" s="140" t="s">
        <v>40</v>
      </c>
      <c r="V102" s="79" t="s">
        <v>245</v>
      </c>
      <c r="W102" s="142" t="s">
        <v>42</v>
      </c>
      <c r="X102" s="141" t="s">
        <v>43</v>
      </c>
      <c r="Y102" s="141" t="s">
        <v>44</v>
      </c>
      <c r="Z102" s="141" t="s">
        <v>306</v>
      </c>
      <c r="AA102" s="143" t="s">
        <v>46</v>
      </c>
    </row>
    <row r="103" spans="1:27" ht="99.75" customHeight="1" x14ac:dyDescent="0.25">
      <c r="A103" s="55" t="s">
        <v>240</v>
      </c>
      <c r="B103" s="131">
        <v>80111501</v>
      </c>
      <c r="C103" s="146" t="s">
        <v>307</v>
      </c>
      <c r="D103" s="146"/>
      <c r="E103" s="58">
        <v>43862</v>
      </c>
      <c r="F103" s="76" t="s">
        <v>104</v>
      </c>
      <c r="G103" s="76" t="s">
        <v>104</v>
      </c>
      <c r="H103" s="169">
        <v>11</v>
      </c>
      <c r="I103" s="61" t="s">
        <v>34</v>
      </c>
      <c r="J103" s="148" t="s">
        <v>35</v>
      </c>
      <c r="K103" s="146" t="s">
        <v>305</v>
      </c>
      <c r="L103" s="148" t="s">
        <v>117</v>
      </c>
      <c r="M103" s="64">
        <f>+N103+P99+R103</f>
        <v>163205753</v>
      </c>
      <c r="N103" s="64">
        <f t="shared" si="2"/>
        <v>6482667</v>
      </c>
      <c r="O103" s="149">
        <f>114400000-107917333</f>
        <v>6482667</v>
      </c>
      <c r="P103" s="149"/>
      <c r="Q103" s="75"/>
      <c r="R103" s="149"/>
      <c r="S103" s="166" t="s">
        <v>38</v>
      </c>
      <c r="T103" s="150" t="s">
        <v>39</v>
      </c>
      <c r="U103" s="131" t="s">
        <v>75</v>
      </c>
      <c r="V103" s="131" t="s">
        <v>245</v>
      </c>
      <c r="W103" s="152" t="s">
        <v>42</v>
      </c>
      <c r="X103" s="151" t="s">
        <v>43</v>
      </c>
      <c r="Y103" s="151" t="s">
        <v>44</v>
      </c>
      <c r="Z103" s="151" t="s">
        <v>308</v>
      </c>
      <c r="AA103" s="153" t="s">
        <v>46</v>
      </c>
    </row>
    <row r="104" spans="1:27" ht="42.75" customHeight="1" x14ac:dyDescent="0.25">
      <c r="A104" s="17" t="s">
        <v>309</v>
      </c>
      <c r="B104" s="18">
        <v>43233201</v>
      </c>
      <c r="C104" s="19" t="s">
        <v>310</v>
      </c>
      <c r="D104" s="19"/>
      <c r="E104" s="20">
        <v>43921</v>
      </c>
      <c r="F104" s="29" t="s">
        <v>91</v>
      </c>
      <c r="G104" s="29" t="s">
        <v>59</v>
      </c>
      <c r="H104" s="167">
        <v>7</v>
      </c>
      <c r="I104" s="173" t="s">
        <v>34</v>
      </c>
      <c r="J104" s="24" t="s">
        <v>225</v>
      </c>
      <c r="K104" s="24" t="s">
        <v>311</v>
      </c>
      <c r="L104" s="89" t="s">
        <v>312</v>
      </c>
      <c r="M104" s="26">
        <f t="shared" si="3"/>
        <v>1378000</v>
      </c>
      <c r="N104" s="26">
        <f t="shared" si="2"/>
        <v>1378000</v>
      </c>
      <c r="O104" s="26">
        <f>4217500+353360-3192860</f>
        <v>1378000</v>
      </c>
      <c r="P104" s="26">
        <v>0</v>
      </c>
      <c r="Q104" s="26"/>
      <c r="R104" s="26"/>
      <c r="S104" s="29" t="s">
        <v>38</v>
      </c>
      <c r="T104" s="29" t="s">
        <v>39</v>
      </c>
      <c r="U104" s="29" t="s">
        <v>40</v>
      </c>
      <c r="V104" s="29" t="s">
        <v>313</v>
      </c>
      <c r="W104" s="29" t="s">
        <v>176</v>
      </c>
      <c r="X104" s="29" t="s">
        <v>43</v>
      </c>
      <c r="Y104" s="29" t="s">
        <v>44</v>
      </c>
      <c r="Z104" s="30" t="s">
        <v>177</v>
      </c>
      <c r="AA104" s="174" t="s">
        <v>46</v>
      </c>
    </row>
    <row r="105" spans="1:27" ht="42.75" customHeight="1" x14ac:dyDescent="0.25">
      <c r="A105" s="55" t="s">
        <v>309</v>
      </c>
      <c r="B105" s="56">
        <v>43233202</v>
      </c>
      <c r="C105" s="57" t="s">
        <v>314</v>
      </c>
      <c r="D105" s="57"/>
      <c r="E105" s="58">
        <v>43922</v>
      </c>
      <c r="F105" s="33" t="s">
        <v>91</v>
      </c>
      <c r="G105" s="33" t="s">
        <v>59</v>
      </c>
      <c r="H105" s="169">
        <v>8</v>
      </c>
      <c r="I105" s="175" t="s">
        <v>34</v>
      </c>
      <c r="J105" s="62" t="s">
        <v>225</v>
      </c>
      <c r="K105" s="62" t="s">
        <v>311</v>
      </c>
      <c r="L105" s="94" t="s">
        <v>315</v>
      </c>
      <c r="M105" s="64">
        <f>+N105+Q105+R105</f>
        <v>3192860</v>
      </c>
      <c r="N105" s="64">
        <f t="shared" si="2"/>
        <v>3192860</v>
      </c>
      <c r="O105" s="64">
        <f>4217500+353360-1378000</f>
        <v>3192860</v>
      </c>
      <c r="P105" s="64"/>
      <c r="Q105" s="64"/>
      <c r="R105" s="64"/>
      <c r="S105" s="33" t="s">
        <v>38</v>
      </c>
      <c r="T105" s="33" t="s">
        <v>39</v>
      </c>
      <c r="U105" s="33" t="s">
        <v>75</v>
      </c>
      <c r="V105" s="33"/>
      <c r="W105" s="33"/>
      <c r="X105" s="33"/>
      <c r="Y105" s="33"/>
      <c r="Z105" s="48"/>
      <c r="AA105" s="176"/>
    </row>
    <row r="106" spans="1:27" ht="71.25" customHeight="1" x14ac:dyDescent="0.25">
      <c r="A106" s="17" t="s">
        <v>309</v>
      </c>
      <c r="B106" s="29">
        <v>80141628</v>
      </c>
      <c r="C106" s="177" t="s">
        <v>316</v>
      </c>
      <c r="D106" s="177"/>
      <c r="E106" s="20">
        <v>43830</v>
      </c>
      <c r="F106" s="29" t="s">
        <v>157</v>
      </c>
      <c r="G106" s="29" t="s">
        <v>157</v>
      </c>
      <c r="H106" s="178">
        <v>144</v>
      </c>
      <c r="I106" s="23" t="s">
        <v>34</v>
      </c>
      <c r="J106" s="24" t="s">
        <v>85</v>
      </c>
      <c r="K106" s="24" t="s">
        <v>317</v>
      </c>
      <c r="L106" s="179" t="s">
        <v>318</v>
      </c>
      <c r="M106" s="26">
        <f t="shared" si="3"/>
        <v>0</v>
      </c>
      <c r="N106" s="26">
        <f t="shared" si="2"/>
        <v>0</v>
      </c>
      <c r="O106" s="27">
        <v>0</v>
      </c>
      <c r="P106" s="26">
        <v>0</v>
      </c>
      <c r="Q106" s="26"/>
      <c r="R106" s="26"/>
      <c r="S106" s="29" t="s">
        <v>38</v>
      </c>
      <c r="T106" s="29" t="s">
        <v>39</v>
      </c>
      <c r="U106" s="29" t="s">
        <v>57</v>
      </c>
      <c r="V106" s="29" t="s">
        <v>313</v>
      </c>
      <c r="W106" s="29" t="s">
        <v>176</v>
      </c>
      <c r="X106" s="29" t="s">
        <v>43</v>
      </c>
      <c r="Y106" s="29" t="s">
        <v>44</v>
      </c>
      <c r="Z106" s="30" t="s">
        <v>177</v>
      </c>
      <c r="AA106" s="174" t="s">
        <v>46</v>
      </c>
    </row>
    <row r="107" spans="1:27" ht="99.75" customHeight="1" x14ac:dyDescent="0.25">
      <c r="A107" s="17" t="s">
        <v>309</v>
      </c>
      <c r="B107" s="18">
        <v>80141628</v>
      </c>
      <c r="C107" s="19" t="s">
        <v>319</v>
      </c>
      <c r="D107" s="49">
        <v>44196</v>
      </c>
      <c r="E107" s="20">
        <v>44106</v>
      </c>
      <c r="F107" s="21" t="s">
        <v>223</v>
      </c>
      <c r="G107" s="21" t="s">
        <v>223</v>
      </c>
      <c r="H107" s="53">
        <v>36</v>
      </c>
      <c r="I107" s="23" t="s">
        <v>34</v>
      </c>
      <c r="J107" s="24" t="s">
        <v>55</v>
      </c>
      <c r="K107" s="24" t="s">
        <v>320</v>
      </c>
      <c r="L107" s="89" t="s">
        <v>37</v>
      </c>
      <c r="M107" s="26">
        <f t="shared" si="3"/>
        <v>489053305</v>
      </c>
      <c r="N107" s="26">
        <f t="shared" si="2"/>
        <v>245282767</v>
      </c>
      <c r="O107" s="26">
        <f>255749105-10466338</f>
        <v>245282767</v>
      </c>
      <c r="P107" s="26">
        <v>0</v>
      </c>
      <c r="Q107" s="26">
        <v>243770538</v>
      </c>
      <c r="R107" s="26"/>
      <c r="S107" s="29" t="s">
        <v>188</v>
      </c>
      <c r="T107" s="29" t="s">
        <v>180</v>
      </c>
      <c r="U107" s="29" t="s">
        <v>57</v>
      </c>
      <c r="V107" s="29" t="s">
        <v>313</v>
      </c>
      <c r="W107" s="29" t="s">
        <v>176</v>
      </c>
      <c r="X107" s="29" t="s">
        <v>43</v>
      </c>
      <c r="Y107" s="29" t="s">
        <v>44</v>
      </c>
      <c r="Z107" s="30" t="s">
        <v>177</v>
      </c>
      <c r="AA107" s="85" t="s">
        <v>46</v>
      </c>
    </row>
    <row r="108" spans="1:27" ht="99.75" customHeight="1" x14ac:dyDescent="0.25">
      <c r="A108" s="55" t="s">
        <v>309</v>
      </c>
      <c r="B108" s="56">
        <v>80141629</v>
      </c>
      <c r="C108" s="57" t="s">
        <v>321</v>
      </c>
      <c r="D108" s="93"/>
      <c r="E108" s="58"/>
      <c r="F108" s="76"/>
      <c r="G108" s="76"/>
      <c r="H108" s="67"/>
      <c r="I108" s="61"/>
      <c r="J108" s="62"/>
      <c r="K108" s="62" t="s">
        <v>320</v>
      </c>
      <c r="L108" s="94" t="s">
        <v>117</v>
      </c>
      <c r="M108" s="64">
        <f>+N108+Q108+R108</f>
        <v>1970452</v>
      </c>
      <c r="N108" s="64">
        <f t="shared" si="2"/>
        <v>1970452</v>
      </c>
      <c r="O108" s="64">
        <f>10466338-8495886</f>
        <v>1970452</v>
      </c>
      <c r="P108" s="64">
        <v>0</v>
      </c>
      <c r="Q108" s="64"/>
      <c r="R108" s="64"/>
      <c r="S108" s="33"/>
      <c r="T108" s="33"/>
      <c r="U108" s="33" t="s">
        <v>75</v>
      </c>
      <c r="V108" s="33" t="s">
        <v>313</v>
      </c>
      <c r="W108" s="33" t="s">
        <v>176</v>
      </c>
      <c r="X108" s="33" t="s">
        <v>43</v>
      </c>
      <c r="Y108" s="33" t="s">
        <v>44</v>
      </c>
      <c r="Z108" s="48" t="s">
        <v>182</v>
      </c>
      <c r="AA108" s="95" t="s">
        <v>46</v>
      </c>
    </row>
    <row r="109" spans="1:27" ht="128.25" customHeight="1" x14ac:dyDescent="0.25">
      <c r="A109" s="17" t="s">
        <v>309</v>
      </c>
      <c r="B109" s="18" t="s">
        <v>322</v>
      </c>
      <c r="C109" s="19" t="s">
        <v>323</v>
      </c>
      <c r="D109" s="19"/>
      <c r="E109" s="20"/>
      <c r="F109" s="21"/>
      <c r="G109" s="21"/>
      <c r="H109" s="50">
        <v>33</v>
      </c>
      <c r="I109" s="23" t="s">
        <v>34</v>
      </c>
      <c r="J109" s="19" t="s">
        <v>324</v>
      </c>
      <c r="K109" s="29" t="s">
        <v>325</v>
      </c>
      <c r="L109" s="24" t="s">
        <v>37</v>
      </c>
      <c r="M109" s="26">
        <f t="shared" si="3"/>
        <v>14536796</v>
      </c>
      <c r="N109" s="26">
        <f t="shared" si="2"/>
        <v>5398272</v>
      </c>
      <c r="O109" s="26">
        <v>749760</v>
      </c>
      <c r="P109" s="26">
        <v>4648512</v>
      </c>
      <c r="Q109" s="26">
        <v>5667840</v>
      </c>
      <c r="R109" s="26">
        <v>3470684</v>
      </c>
      <c r="S109" s="29" t="s">
        <v>188</v>
      </c>
      <c r="T109" s="29" t="s">
        <v>180</v>
      </c>
      <c r="U109" s="29" t="s">
        <v>57</v>
      </c>
      <c r="V109" s="29" t="s">
        <v>326</v>
      </c>
      <c r="W109" s="29" t="s">
        <v>176</v>
      </c>
      <c r="X109" s="29" t="s">
        <v>43</v>
      </c>
      <c r="Y109" s="29" t="s">
        <v>44</v>
      </c>
      <c r="Z109" s="30" t="s">
        <v>177</v>
      </c>
      <c r="AA109" s="85" t="s">
        <v>46</v>
      </c>
    </row>
    <row r="110" spans="1:27" ht="99.75" customHeight="1" x14ac:dyDescent="0.25">
      <c r="A110" s="34" t="s">
        <v>327</v>
      </c>
      <c r="B110" s="35">
        <v>81131504</v>
      </c>
      <c r="C110" s="36" t="s">
        <v>328</v>
      </c>
      <c r="D110" s="36"/>
      <c r="E110" s="80">
        <v>43921</v>
      </c>
      <c r="F110" s="39" t="s">
        <v>59</v>
      </c>
      <c r="G110" s="180" t="s">
        <v>59</v>
      </c>
      <c r="H110" s="40">
        <v>5</v>
      </c>
      <c r="I110" s="41" t="s">
        <v>34</v>
      </c>
      <c r="J110" s="36" t="s">
        <v>329</v>
      </c>
      <c r="K110" s="42" t="s">
        <v>330</v>
      </c>
      <c r="L110" s="43" t="s">
        <v>37</v>
      </c>
      <c r="M110" s="44">
        <f t="shared" si="3"/>
        <v>115806040</v>
      </c>
      <c r="N110" s="44">
        <f t="shared" si="2"/>
        <v>115806040</v>
      </c>
      <c r="O110" s="44">
        <v>115806040</v>
      </c>
      <c r="P110" s="44">
        <v>0</v>
      </c>
      <c r="Q110" s="44"/>
      <c r="R110" s="44"/>
      <c r="S110" s="42" t="s">
        <v>38</v>
      </c>
      <c r="T110" s="42" t="s">
        <v>39</v>
      </c>
      <c r="U110" s="42" t="s">
        <v>52</v>
      </c>
      <c r="V110" s="42" t="s">
        <v>331</v>
      </c>
      <c r="W110" s="42" t="s">
        <v>176</v>
      </c>
      <c r="X110" s="42" t="s">
        <v>43</v>
      </c>
      <c r="Y110" s="42" t="s">
        <v>44</v>
      </c>
      <c r="Z110" s="46" t="s">
        <v>45</v>
      </c>
      <c r="AA110" s="84" t="s">
        <v>46</v>
      </c>
    </row>
    <row r="111" spans="1:27" ht="71.25" customHeight="1" x14ac:dyDescent="0.25">
      <c r="A111" s="181" t="s">
        <v>327</v>
      </c>
      <c r="B111" s="56" t="s">
        <v>332</v>
      </c>
      <c r="C111" s="182" t="s">
        <v>333</v>
      </c>
      <c r="D111" s="57"/>
      <c r="E111" s="135">
        <v>43889</v>
      </c>
      <c r="F111" s="33" t="s">
        <v>115</v>
      </c>
      <c r="G111" s="73" t="s">
        <v>59</v>
      </c>
      <c r="H111" s="67">
        <v>8</v>
      </c>
      <c r="I111" s="33" t="s">
        <v>34</v>
      </c>
      <c r="J111" s="57" t="s">
        <v>151</v>
      </c>
      <c r="K111" s="33" t="s">
        <v>334</v>
      </c>
      <c r="L111" s="62" t="s">
        <v>37</v>
      </c>
      <c r="M111" s="99">
        <f t="shared" si="3"/>
        <v>14000000</v>
      </c>
      <c r="N111" s="99">
        <f t="shared" si="2"/>
        <v>14000000</v>
      </c>
      <c r="O111" s="99">
        <v>14000000</v>
      </c>
      <c r="P111" s="99">
        <v>0</v>
      </c>
      <c r="Q111" s="99"/>
      <c r="R111" s="99"/>
      <c r="S111" s="183" t="s">
        <v>38</v>
      </c>
      <c r="T111" s="183" t="s">
        <v>39</v>
      </c>
      <c r="U111" s="183" t="s">
        <v>75</v>
      </c>
      <c r="V111" s="183" t="s">
        <v>331</v>
      </c>
      <c r="W111" s="183" t="s">
        <v>176</v>
      </c>
      <c r="X111" s="183" t="s">
        <v>43</v>
      </c>
      <c r="Y111" s="183" t="s">
        <v>44</v>
      </c>
      <c r="Z111" s="184" t="s">
        <v>45</v>
      </c>
      <c r="AA111" s="185" t="s">
        <v>46</v>
      </c>
    </row>
    <row r="112" spans="1:27" ht="42.75" customHeight="1" x14ac:dyDescent="0.25">
      <c r="A112" s="17" t="s">
        <v>327</v>
      </c>
      <c r="B112" s="18">
        <v>83111507</v>
      </c>
      <c r="C112" s="19" t="s">
        <v>335</v>
      </c>
      <c r="D112" s="49">
        <v>43982</v>
      </c>
      <c r="E112" s="20">
        <v>43889</v>
      </c>
      <c r="F112" s="21" t="s">
        <v>115</v>
      </c>
      <c r="G112" s="21" t="s">
        <v>91</v>
      </c>
      <c r="H112" s="53">
        <v>12</v>
      </c>
      <c r="I112" s="23" t="s">
        <v>34</v>
      </c>
      <c r="J112" s="24" t="s">
        <v>55</v>
      </c>
      <c r="K112" s="24" t="s">
        <v>336</v>
      </c>
      <c r="L112" s="89" t="s">
        <v>37</v>
      </c>
      <c r="M112" s="26">
        <f t="shared" si="3"/>
        <v>176278662</v>
      </c>
      <c r="N112" s="26">
        <f t="shared" si="2"/>
        <v>176278662</v>
      </c>
      <c r="O112" s="26">
        <f>163869848+2740320+9668494</f>
        <v>176278662</v>
      </c>
      <c r="P112" s="26">
        <v>0</v>
      </c>
      <c r="Q112" s="26"/>
      <c r="R112" s="26"/>
      <c r="S112" s="29" t="s">
        <v>38</v>
      </c>
      <c r="T112" s="29" t="s">
        <v>39</v>
      </c>
      <c r="U112" s="29" t="s">
        <v>57</v>
      </c>
      <c r="V112" s="29" t="s">
        <v>331</v>
      </c>
      <c r="W112" s="29" t="s">
        <v>176</v>
      </c>
      <c r="X112" s="29" t="s">
        <v>43</v>
      </c>
      <c r="Y112" s="29" t="s">
        <v>44</v>
      </c>
      <c r="Z112" s="30" t="s">
        <v>45</v>
      </c>
      <c r="AA112" s="85" t="s">
        <v>46</v>
      </c>
    </row>
    <row r="113" spans="1:27" ht="42.75" customHeight="1" x14ac:dyDescent="0.25">
      <c r="A113" s="17" t="s">
        <v>327</v>
      </c>
      <c r="B113" s="18">
        <v>83111508</v>
      </c>
      <c r="C113" s="19" t="s">
        <v>337</v>
      </c>
      <c r="D113" s="49"/>
      <c r="E113" s="20">
        <v>43951</v>
      </c>
      <c r="F113" s="21" t="s">
        <v>59</v>
      </c>
      <c r="G113" s="21" t="s">
        <v>59</v>
      </c>
      <c r="H113" s="53">
        <v>11</v>
      </c>
      <c r="I113" s="23" t="s">
        <v>34</v>
      </c>
      <c r="J113" s="24" t="s">
        <v>179</v>
      </c>
      <c r="K113" s="24" t="s">
        <v>336</v>
      </c>
      <c r="L113" s="89" t="s">
        <v>117</v>
      </c>
      <c r="M113" s="26">
        <f>+N113+Q113+R113</f>
        <v>361954155</v>
      </c>
      <c r="N113" s="26">
        <f t="shared" si="2"/>
        <v>231154978</v>
      </c>
      <c r="O113" s="26">
        <f>308096511-76941533</f>
        <v>231154978</v>
      </c>
      <c r="P113" s="26"/>
      <c r="Q113" s="26">
        <f>186415885-55616708</f>
        <v>130799177</v>
      </c>
      <c r="R113" s="26"/>
      <c r="S113" s="29" t="s">
        <v>291</v>
      </c>
      <c r="T113" s="29" t="s">
        <v>180</v>
      </c>
      <c r="U113" s="29" t="s">
        <v>40</v>
      </c>
      <c r="V113" s="29" t="s">
        <v>331</v>
      </c>
      <c r="W113" s="29" t="s">
        <v>176</v>
      </c>
      <c r="X113" s="29" t="s">
        <v>43</v>
      </c>
      <c r="Y113" s="29" t="s">
        <v>44</v>
      </c>
      <c r="Z113" s="30" t="s">
        <v>120</v>
      </c>
      <c r="AA113" s="85" t="s">
        <v>46</v>
      </c>
    </row>
    <row r="114" spans="1:27" ht="42.75" customHeight="1" x14ac:dyDescent="0.25">
      <c r="A114" s="186" t="s">
        <v>327</v>
      </c>
      <c r="B114" s="187">
        <v>83111509</v>
      </c>
      <c r="C114" s="188" t="s">
        <v>338</v>
      </c>
      <c r="D114" s="189"/>
      <c r="E114" s="190"/>
      <c r="F114" s="191"/>
      <c r="G114" s="191"/>
      <c r="H114" s="192"/>
      <c r="I114" s="193"/>
      <c r="J114" s="187"/>
      <c r="K114" s="187" t="s">
        <v>336</v>
      </c>
      <c r="L114" s="194" t="s">
        <v>97</v>
      </c>
      <c r="M114" s="195">
        <f>+N114+Q114+R114</f>
        <v>132558241</v>
      </c>
      <c r="N114" s="195">
        <f t="shared" si="2"/>
        <v>76941533</v>
      </c>
      <c r="O114" s="195">
        <f>308096512-231154979</f>
        <v>76941533</v>
      </c>
      <c r="P114" s="195"/>
      <c r="Q114" s="195">
        <f>186415885-130799177</f>
        <v>55616708</v>
      </c>
      <c r="R114" s="195"/>
      <c r="S114" s="196" t="s">
        <v>38</v>
      </c>
      <c r="T114" s="196" t="s">
        <v>39</v>
      </c>
      <c r="U114" s="196" t="s">
        <v>75</v>
      </c>
      <c r="V114" s="196" t="s">
        <v>331</v>
      </c>
      <c r="W114" s="196" t="s">
        <v>176</v>
      </c>
      <c r="X114" s="196" t="s">
        <v>43</v>
      </c>
      <c r="Y114" s="196" t="s">
        <v>44</v>
      </c>
      <c r="Z114" s="197" t="s">
        <v>67</v>
      </c>
      <c r="AA114" s="198" t="s">
        <v>46</v>
      </c>
    </row>
    <row r="115" spans="1:27" ht="43.5" customHeight="1" x14ac:dyDescent="0.25">
      <c r="A115" s="181" t="s">
        <v>327</v>
      </c>
      <c r="B115" s="56" t="s">
        <v>339</v>
      </c>
      <c r="C115" s="182" t="s">
        <v>333</v>
      </c>
      <c r="D115" s="57"/>
      <c r="E115" s="135">
        <v>43889</v>
      </c>
      <c r="F115" s="33" t="s">
        <v>115</v>
      </c>
      <c r="G115" s="73" t="s">
        <v>59</v>
      </c>
      <c r="H115" s="67">
        <v>8</v>
      </c>
      <c r="I115" s="33" t="s">
        <v>34</v>
      </c>
      <c r="J115" s="57" t="s">
        <v>151</v>
      </c>
      <c r="K115" s="33" t="s">
        <v>340</v>
      </c>
      <c r="L115" s="62" t="s">
        <v>37</v>
      </c>
      <c r="M115" s="99">
        <f t="shared" si="3"/>
        <v>21218000</v>
      </c>
      <c r="N115" s="99">
        <f t="shared" si="2"/>
        <v>21218000</v>
      </c>
      <c r="O115" s="99">
        <v>21218000</v>
      </c>
      <c r="P115" s="99" t="s">
        <v>119</v>
      </c>
      <c r="Q115" s="99"/>
      <c r="R115" s="99"/>
      <c r="S115" s="183" t="s">
        <v>38</v>
      </c>
      <c r="T115" s="183" t="s">
        <v>39</v>
      </c>
      <c r="U115" s="183" t="s">
        <v>75</v>
      </c>
      <c r="V115" s="183" t="s">
        <v>331</v>
      </c>
      <c r="W115" s="183" t="s">
        <v>176</v>
      </c>
      <c r="X115" s="183" t="s">
        <v>43</v>
      </c>
      <c r="Y115" s="183" t="s">
        <v>44</v>
      </c>
      <c r="Z115" s="184" t="s">
        <v>45</v>
      </c>
      <c r="AA115" s="185" t="s">
        <v>46</v>
      </c>
    </row>
    <row r="116" spans="1:27" ht="99.75" customHeight="1" x14ac:dyDescent="0.25">
      <c r="A116" s="17" t="s">
        <v>341</v>
      </c>
      <c r="B116" s="18">
        <v>81112501</v>
      </c>
      <c r="C116" s="19" t="s">
        <v>342</v>
      </c>
      <c r="D116" s="19"/>
      <c r="E116" s="20">
        <v>43861</v>
      </c>
      <c r="F116" s="21" t="s">
        <v>104</v>
      </c>
      <c r="G116" s="32" t="s">
        <v>104</v>
      </c>
      <c r="H116" s="50">
        <v>1</v>
      </c>
      <c r="I116" s="23" t="s">
        <v>34</v>
      </c>
      <c r="J116" s="19" t="s">
        <v>35</v>
      </c>
      <c r="K116" s="29" t="s">
        <v>343</v>
      </c>
      <c r="L116" s="24" t="s">
        <v>297</v>
      </c>
      <c r="M116" s="26">
        <f t="shared" si="3"/>
        <v>124398741.31</v>
      </c>
      <c r="N116" s="26">
        <f t="shared" si="2"/>
        <v>124398741.31</v>
      </c>
      <c r="O116" s="26">
        <v>124398741.31</v>
      </c>
      <c r="P116" s="26"/>
      <c r="Q116" s="26"/>
      <c r="R116" s="26"/>
      <c r="S116" s="29" t="s">
        <v>38</v>
      </c>
      <c r="T116" s="29" t="s">
        <v>39</v>
      </c>
      <c r="U116" s="29" t="s">
        <v>40</v>
      </c>
      <c r="V116" s="29" t="s">
        <v>344</v>
      </c>
      <c r="W116" s="29" t="s">
        <v>341</v>
      </c>
      <c r="X116" s="29" t="s">
        <v>43</v>
      </c>
      <c r="Y116" s="29" t="s">
        <v>44</v>
      </c>
      <c r="Z116" s="30" t="s">
        <v>177</v>
      </c>
      <c r="AA116" s="85" t="s">
        <v>46</v>
      </c>
    </row>
    <row r="117" spans="1:27" ht="59.25" customHeight="1" x14ac:dyDescent="0.25">
      <c r="A117" s="181" t="s">
        <v>341</v>
      </c>
      <c r="B117" s="56" t="s">
        <v>345</v>
      </c>
      <c r="C117" s="182" t="s">
        <v>150</v>
      </c>
      <c r="D117" s="57"/>
      <c r="E117" s="135">
        <v>43889</v>
      </c>
      <c r="F117" s="33" t="s">
        <v>115</v>
      </c>
      <c r="G117" s="73" t="s">
        <v>59</v>
      </c>
      <c r="H117" s="67">
        <v>8</v>
      </c>
      <c r="I117" s="33" t="s">
        <v>34</v>
      </c>
      <c r="J117" s="57" t="s">
        <v>151</v>
      </c>
      <c r="K117" s="33" t="s">
        <v>346</v>
      </c>
      <c r="L117" s="62" t="s">
        <v>37</v>
      </c>
      <c r="M117" s="99">
        <f t="shared" si="3"/>
        <v>31827000</v>
      </c>
      <c r="N117" s="99">
        <f t="shared" si="2"/>
        <v>31827000</v>
      </c>
      <c r="O117" s="99">
        <v>31827000</v>
      </c>
      <c r="P117" s="99"/>
      <c r="Q117" s="99"/>
      <c r="R117" s="99"/>
      <c r="S117" s="183" t="s">
        <v>38</v>
      </c>
      <c r="T117" s="183" t="s">
        <v>39</v>
      </c>
      <c r="U117" s="183" t="s">
        <v>75</v>
      </c>
      <c r="V117" s="183" t="s">
        <v>344</v>
      </c>
      <c r="W117" s="183" t="s">
        <v>341</v>
      </c>
      <c r="X117" s="183" t="s">
        <v>43</v>
      </c>
      <c r="Y117" s="183" t="s">
        <v>44</v>
      </c>
      <c r="Z117" s="184" t="s">
        <v>177</v>
      </c>
      <c r="AA117" s="185" t="s">
        <v>46</v>
      </c>
    </row>
    <row r="118" spans="1:27" ht="42.75" customHeight="1" x14ac:dyDescent="0.25">
      <c r="A118" s="17" t="s">
        <v>347</v>
      </c>
      <c r="B118" s="18">
        <v>60105412</v>
      </c>
      <c r="C118" s="19" t="s">
        <v>348</v>
      </c>
      <c r="D118" s="49">
        <v>44196</v>
      </c>
      <c r="E118" s="20">
        <v>43921</v>
      </c>
      <c r="F118" s="29" t="s">
        <v>115</v>
      </c>
      <c r="G118" s="32" t="s">
        <v>115</v>
      </c>
      <c r="H118" s="199">
        <v>12</v>
      </c>
      <c r="I118" s="87" t="s">
        <v>34</v>
      </c>
      <c r="J118" s="19" t="s">
        <v>72</v>
      </c>
      <c r="K118" s="29" t="s">
        <v>349</v>
      </c>
      <c r="L118" s="24" t="s">
        <v>37</v>
      </c>
      <c r="M118" s="26">
        <f t="shared" si="3"/>
        <v>22235076259</v>
      </c>
      <c r="N118" s="26">
        <f t="shared" si="2"/>
        <v>22235076259</v>
      </c>
      <c r="O118" s="26" t="s">
        <v>119</v>
      </c>
      <c r="P118" s="26">
        <f>15810845400+6424230859</f>
        <v>22235076259</v>
      </c>
      <c r="Q118" s="26"/>
      <c r="R118" s="26"/>
      <c r="S118" s="29" t="s">
        <v>38</v>
      </c>
      <c r="T118" s="29" t="s">
        <v>39</v>
      </c>
      <c r="U118" s="29" t="s">
        <v>40</v>
      </c>
      <c r="V118" s="29" t="s">
        <v>350</v>
      </c>
      <c r="W118" s="29" t="s">
        <v>176</v>
      </c>
      <c r="X118" s="29" t="s">
        <v>43</v>
      </c>
      <c r="Y118" s="29" t="s">
        <v>44</v>
      </c>
      <c r="Z118" s="30" t="s">
        <v>351</v>
      </c>
      <c r="AA118" s="85" t="s">
        <v>46</v>
      </c>
    </row>
    <row r="119" spans="1:27" ht="114" customHeight="1" x14ac:dyDescent="0.25">
      <c r="A119" s="17" t="s">
        <v>347</v>
      </c>
      <c r="B119" s="18">
        <v>84131501</v>
      </c>
      <c r="C119" s="19" t="s">
        <v>352</v>
      </c>
      <c r="D119" s="19"/>
      <c r="E119" s="49">
        <v>43833</v>
      </c>
      <c r="F119" s="29" t="s">
        <v>157</v>
      </c>
      <c r="G119" s="32" t="s">
        <v>104</v>
      </c>
      <c r="H119" s="199">
        <v>10.5</v>
      </c>
      <c r="I119" s="87" t="s">
        <v>34</v>
      </c>
      <c r="J119" s="19" t="s">
        <v>329</v>
      </c>
      <c r="K119" s="200" t="s">
        <v>353</v>
      </c>
      <c r="L119" s="24" t="s">
        <v>37</v>
      </c>
      <c r="M119" s="26">
        <f t="shared" si="3"/>
        <v>754376152</v>
      </c>
      <c r="N119" s="26">
        <f t="shared" si="2"/>
        <v>754376152</v>
      </c>
      <c r="O119" s="26" t="s">
        <v>119</v>
      </c>
      <c r="P119" s="91">
        <f>752719920+1656232</f>
        <v>754376152</v>
      </c>
      <c r="Q119" s="26"/>
      <c r="R119" s="26"/>
      <c r="S119" s="29" t="s">
        <v>38</v>
      </c>
      <c r="T119" s="29" t="s">
        <v>39</v>
      </c>
      <c r="U119" s="29" t="s">
        <v>40</v>
      </c>
      <c r="V119" s="29" t="s">
        <v>350</v>
      </c>
      <c r="W119" s="29" t="s">
        <v>176</v>
      </c>
      <c r="X119" s="29" t="s">
        <v>43</v>
      </c>
      <c r="Y119" s="29" t="s">
        <v>44</v>
      </c>
      <c r="Z119" s="30" t="s">
        <v>351</v>
      </c>
      <c r="AA119" s="85" t="s">
        <v>46</v>
      </c>
    </row>
    <row r="120" spans="1:27" ht="114" customHeight="1" x14ac:dyDescent="0.25">
      <c r="A120" s="55" t="s">
        <v>347</v>
      </c>
      <c r="B120" s="56">
        <v>84131502</v>
      </c>
      <c r="C120" s="57" t="s">
        <v>354</v>
      </c>
      <c r="D120" s="57"/>
      <c r="E120" s="93"/>
      <c r="F120" s="33"/>
      <c r="G120" s="51"/>
      <c r="H120" s="201"/>
      <c r="I120" s="202"/>
      <c r="J120" s="57"/>
      <c r="K120" s="33" t="s">
        <v>355</v>
      </c>
      <c r="L120" s="62" t="s">
        <v>117</v>
      </c>
      <c r="M120" s="64">
        <f>+N120+Q120+R120</f>
        <v>203409512</v>
      </c>
      <c r="N120" s="64">
        <f t="shared" si="2"/>
        <v>728459</v>
      </c>
      <c r="O120" s="64"/>
      <c r="P120" s="64">
        <f>753448379-752719920</f>
        <v>728459</v>
      </c>
      <c r="Q120" s="64">
        <f>204337285-1656232</f>
        <v>202681053</v>
      </c>
      <c r="R120" s="64"/>
      <c r="S120" s="33" t="s">
        <v>38</v>
      </c>
      <c r="T120" s="33" t="s">
        <v>39</v>
      </c>
      <c r="U120" s="33" t="s">
        <v>75</v>
      </c>
      <c r="V120" s="33" t="s">
        <v>350</v>
      </c>
      <c r="W120" s="33" t="s">
        <v>176</v>
      </c>
      <c r="X120" s="33" t="s">
        <v>43</v>
      </c>
      <c r="Y120" s="33" t="s">
        <v>44</v>
      </c>
      <c r="Z120" s="48" t="s">
        <v>356</v>
      </c>
      <c r="AA120" s="95" t="s">
        <v>46</v>
      </c>
    </row>
    <row r="121" spans="1:27" ht="82.5" customHeight="1" x14ac:dyDescent="0.25">
      <c r="A121" s="17" t="s">
        <v>357</v>
      </c>
      <c r="B121" s="18">
        <v>81112211</v>
      </c>
      <c r="C121" s="19" t="s">
        <v>358</v>
      </c>
      <c r="D121" s="19"/>
      <c r="E121" s="20">
        <v>43903</v>
      </c>
      <c r="F121" s="29" t="s">
        <v>91</v>
      </c>
      <c r="G121" s="32" t="s">
        <v>91</v>
      </c>
      <c r="H121" s="199">
        <v>9</v>
      </c>
      <c r="I121" s="23" t="s">
        <v>34</v>
      </c>
      <c r="J121" s="19" t="s">
        <v>35</v>
      </c>
      <c r="K121" s="29" t="s">
        <v>359</v>
      </c>
      <c r="L121" s="203" t="s">
        <v>360</v>
      </c>
      <c r="M121" s="26">
        <f t="shared" si="3"/>
        <v>64252920</v>
      </c>
      <c r="N121" s="26">
        <f t="shared" si="2"/>
        <v>64252920</v>
      </c>
      <c r="O121" s="26">
        <v>64252920</v>
      </c>
      <c r="P121" s="26">
        <v>0</v>
      </c>
      <c r="Q121" s="26"/>
      <c r="R121" s="26"/>
      <c r="S121" s="29" t="s">
        <v>38</v>
      </c>
      <c r="T121" s="29" t="s">
        <v>39</v>
      </c>
      <c r="U121" s="29" t="s">
        <v>40</v>
      </c>
      <c r="V121" s="29" t="s">
        <v>361</v>
      </c>
      <c r="W121" s="29" t="s">
        <v>176</v>
      </c>
      <c r="X121" s="29" t="s">
        <v>43</v>
      </c>
      <c r="Y121" s="29" t="s">
        <v>44</v>
      </c>
      <c r="Z121" s="30" t="s">
        <v>351</v>
      </c>
      <c r="AA121" s="85" t="s">
        <v>46</v>
      </c>
    </row>
    <row r="122" spans="1:27" ht="38.25" customHeight="1" x14ac:dyDescent="0.25">
      <c r="A122" s="17" t="s">
        <v>357</v>
      </c>
      <c r="B122" s="18" t="s">
        <v>362</v>
      </c>
      <c r="C122" s="19" t="s">
        <v>363</v>
      </c>
      <c r="D122" s="19"/>
      <c r="E122" s="20">
        <v>43903</v>
      </c>
      <c r="F122" s="29" t="s">
        <v>91</v>
      </c>
      <c r="G122" s="21" t="s">
        <v>59</v>
      </c>
      <c r="H122" s="199">
        <v>9</v>
      </c>
      <c r="I122" s="87" t="s">
        <v>34</v>
      </c>
      <c r="J122" s="19" t="s">
        <v>203</v>
      </c>
      <c r="K122" s="29" t="s">
        <v>364</v>
      </c>
      <c r="L122" s="203" t="s">
        <v>365</v>
      </c>
      <c r="M122" s="26">
        <f t="shared" si="3"/>
        <v>54583120</v>
      </c>
      <c r="N122" s="26">
        <f t="shared" si="2"/>
        <v>54583120</v>
      </c>
      <c r="O122" s="26">
        <f>60000000-43625064</f>
        <v>16374936</v>
      </c>
      <c r="P122" s="26">
        <f>60000000-21791816</f>
        <v>38208184</v>
      </c>
      <c r="Q122" s="26"/>
      <c r="R122" s="26"/>
      <c r="S122" s="29" t="s">
        <v>38</v>
      </c>
      <c r="T122" s="29" t="s">
        <v>39</v>
      </c>
      <c r="U122" s="29" t="s">
        <v>40</v>
      </c>
      <c r="V122" s="29" t="s">
        <v>361</v>
      </c>
      <c r="W122" s="29" t="s">
        <v>176</v>
      </c>
      <c r="X122" s="29" t="s">
        <v>43</v>
      </c>
      <c r="Y122" s="29" t="s">
        <v>44</v>
      </c>
      <c r="Z122" s="30" t="s">
        <v>351</v>
      </c>
      <c r="AA122" s="85" t="s">
        <v>46</v>
      </c>
    </row>
    <row r="123" spans="1:27" ht="38.25" customHeight="1" x14ac:dyDescent="0.25">
      <c r="A123" s="17" t="s">
        <v>357</v>
      </c>
      <c r="B123" s="18" t="s">
        <v>362</v>
      </c>
      <c r="C123" s="19" t="s">
        <v>366</v>
      </c>
      <c r="D123" s="19"/>
      <c r="E123" s="20">
        <v>43981</v>
      </c>
      <c r="F123" s="29" t="s">
        <v>59</v>
      </c>
      <c r="G123" s="21" t="s">
        <v>32</v>
      </c>
      <c r="H123" s="199">
        <v>10</v>
      </c>
      <c r="I123" s="87" t="s">
        <v>34</v>
      </c>
      <c r="J123" s="19" t="s">
        <v>179</v>
      </c>
      <c r="K123" s="29" t="s">
        <v>364</v>
      </c>
      <c r="L123" s="203" t="s">
        <v>367</v>
      </c>
      <c r="M123" s="26">
        <f>+N123+Q123+R123</f>
        <v>54893411</v>
      </c>
      <c r="N123" s="26">
        <f t="shared" si="2"/>
        <v>54893411</v>
      </c>
      <c r="O123" s="26">
        <f>19625064-3157041</f>
        <v>16468023</v>
      </c>
      <c r="P123" s="26">
        <f>45791816-7366428</f>
        <v>38425388</v>
      </c>
      <c r="Q123" s="26"/>
      <c r="R123" s="26"/>
      <c r="S123" s="29" t="s">
        <v>38</v>
      </c>
      <c r="T123" s="29" t="s">
        <v>39</v>
      </c>
      <c r="U123" s="29" t="s">
        <v>40</v>
      </c>
      <c r="V123" s="29" t="s">
        <v>361</v>
      </c>
      <c r="W123" s="29" t="s">
        <v>176</v>
      </c>
      <c r="X123" s="29" t="s">
        <v>43</v>
      </c>
      <c r="Y123" s="29" t="s">
        <v>44</v>
      </c>
      <c r="Z123" s="30" t="s">
        <v>356</v>
      </c>
      <c r="AA123" s="85" t="s">
        <v>46</v>
      </c>
    </row>
    <row r="124" spans="1:27" ht="38.25" customHeight="1" x14ac:dyDescent="0.25">
      <c r="A124" s="55" t="s">
        <v>357</v>
      </c>
      <c r="B124" s="56" t="s">
        <v>368</v>
      </c>
      <c r="C124" s="57" t="s">
        <v>369</v>
      </c>
      <c r="D124" s="57"/>
      <c r="E124" s="58"/>
      <c r="F124" s="33"/>
      <c r="G124" s="76"/>
      <c r="H124" s="201"/>
      <c r="I124" s="202"/>
      <c r="J124" s="57"/>
      <c r="K124" s="33" t="s">
        <v>364</v>
      </c>
      <c r="L124" s="204" t="s">
        <v>370</v>
      </c>
      <c r="M124" s="64">
        <f>+N124+Q124+R124</f>
        <v>10523469</v>
      </c>
      <c r="N124" s="64">
        <f>+O124+P124</f>
        <v>10523469</v>
      </c>
      <c r="O124" s="64">
        <f>19625064-16468023</f>
        <v>3157041</v>
      </c>
      <c r="P124" s="64">
        <f>45791816-38425388</f>
        <v>7366428</v>
      </c>
      <c r="Q124" s="64"/>
      <c r="R124" s="64"/>
      <c r="S124" s="33"/>
      <c r="T124" s="33"/>
      <c r="U124" s="33" t="s">
        <v>75</v>
      </c>
      <c r="V124" s="33" t="s">
        <v>361</v>
      </c>
      <c r="W124" s="33" t="s">
        <v>176</v>
      </c>
      <c r="X124" s="33" t="s">
        <v>43</v>
      </c>
      <c r="Y124" s="33" t="s">
        <v>44</v>
      </c>
      <c r="Z124" s="48" t="s">
        <v>371</v>
      </c>
      <c r="AA124" s="95" t="s">
        <v>46</v>
      </c>
    </row>
    <row r="125" spans="1:27" ht="57" customHeight="1" x14ac:dyDescent="0.25">
      <c r="A125" s="17" t="s">
        <v>357</v>
      </c>
      <c r="B125" s="18">
        <v>44103103</v>
      </c>
      <c r="C125" s="19" t="s">
        <v>372</v>
      </c>
      <c r="D125" s="19"/>
      <c r="E125" s="20">
        <v>43951</v>
      </c>
      <c r="F125" s="21" t="s">
        <v>209</v>
      </c>
      <c r="G125" s="205" t="s">
        <v>209</v>
      </c>
      <c r="H125" s="199">
        <v>6</v>
      </c>
      <c r="I125" s="87" t="s">
        <v>34</v>
      </c>
      <c r="J125" s="19" t="s">
        <v>179</v>
      </c>
      <c r="K125" s="29" t="s">
        <v>373</v>
      </c>
      <c r="L125" s="203" t="s">
        <v>374</v>
      </c>
      <c r="M125" s="26">
        <f t="shared" si="3"/>
        <v>46967528</v>
      </c>
      <c r="N125" s="26">
        <f t="shared" si="2"/>
        <v>46967528</v>
      </c>
      <c r="O125" s="26">
        <f>140000000-123969274+3373650-5314118</f>
        <v>14090258</v>
      </c>
      <c r="P125" s="26">
        <f>60000000-22594974+7871850-12399606</f>
        <v>32877270</v>
      </c>
      <c r="Q125" s="26"/>
      <c r="R125" s="26"/>
      <c r="S125" s="29" t="s">
        <v>38</v>
      </c>
      <c r="T125" s="29" t="s">
        <v>39</v>
      </c>
      <c r="U125" s="29" t="s">
        <v>40</v>
      </c>
      <c r="V125" s="29" t="s">
        <v>361</v>
      </c>
      <c r="W125" s="29" t="s">
        <v>176</v>
      </c>
      <c r="X125" s="29" t="s">
        <v>43</v>
      </c>
      <c r="Y125" s="29" t="s">
        <v>44</v>
      </c>
      <c r="Z125" s="30" t="s">
        <v>351</v>
      </c>
      <c r="AA125" s="85" t="s">
        <v>46</v>
      </c>
    </row>
    <row r="126" spans="1:27" ht="57" customHeight="1" x14ac:dyDescent="0.25">
      <c r="A126" s="55" t="s">
        <v>357</v>
      </c>
      <c r="B126" s="56">
        <v>44103103</v>
      </c>
      <c r="C126" s="57" t="s">
        <v>375</v>
      </c>
      <c r="D126" s="57"/>
      <c r="E126" s="58"/>
      <c r="F126" s="76"/>
      <c r="G126" s="206"/>
      <c r="H126" s="201"/>
      <c r="I126" s="202"/>
      <c r="J126" s="57"/>
      <c r="K126" s="33" t="s">
        <v>373</v>
      </c>
      <c r="L126" s="204" t="s">
        <v>374</v>
      </c>
      <c r="M126" s="64">
        <f t="shared" si="3"/>
        <v>17713724</v>
      </c>
      <c r="N126" s="64">
        <f>+O126+P126</f>
        <v>17713724</v>
      </c>
      <c r="O126" s="64">
        <f>140000000-123969274+3373650-14090258</f>
        <v>5314118</v>
      </c>
      <c r="P126" s="64">
        <f>60000000-22594974+7871850-32877270</f>
        <v>12399606</v>
      </c>
      <c r="Q126" s="64"/>
      <c r="R126" s="64"/>
      <c r="S126" s="33" t="s">
        <v>38</v>
      </c>
      <c r="T126" s="33" t="s">
        <v>39</v>
      </c>
      <c r="U126" s="33" t="s">
        <v>75</v>
      </c>
      <c r="V126" s="33" t="s">
        <v>361</v>
      </c>
      <c r="W126" s="33" t="s">
        <v>176</v>
      </c>
      <c r="X126" s="33" t="s">
        <v>43</v>
      </c>
      <c r="Y126" s="33" t="s">
        <v>44</v>
      </c>
      <c r="Z126" s="48" t="s">
        <v>351</v>
      </c>
      <c r="AA126" s="95" t="s">
        <v>46</v>
      </c>
    </row>
    <row r="127" spans="1:27" ht="57" customHeight="1" x14ac:dyDescent="0.25">
      <c r="A127" s="34" t="s">
        <v>357</v>
      </c>
      <c r="B127" s="35">
        <v>44103103</v>
      </c>
      <c r="C127" s="36" t="s">
        <v>376</v>
      </c>
      <c r="D127" s="36"/>
      <c r="E127" s="80">
        <v>43951</v>
      </c>
      <c r="F127" s="39" t="s">
        <v>209</v>
      </c>
      <c r="G127" s="180" t="s">
        <v>33</v>
      </c>
      <c r="H127" s="207">
        <v>1</v>
      </c>
      <c r="I127" s="88" t="s">
        <v>34</v>
      </c>
      <c r="J127" s="36" t="s">
        <v>203</v>
      </c>
      <c r="K127" s="42" t="s">
        <v>373</v>
      </c>
      <c r="L127" s="208" t="s">
        <v>374</v>
      </c>
      <c r="M127" s="44">
        <f t="shared" si="3"/>
        <v>135318748</v>
      </c>
      <c r="N127" s="44">
        <f t="shared" si="2"/>
        <v>135318748</v>
      </c>
      <c r="O127" s="44">
        <f>123969274-3373650-80000000</f>
        <v>40595624</v>
      </c>
      <c r="P127" s="44">
        <f>22594974-7871850+80000000</f>
        <v>94723124</v>
      </c>
      <c r="Q127" s="44"/>
      <c r="R127" s="44"/>
      <c r="S127" s="42" t="s">
        <v>38</v>
      </c>
      <c r="T127" s="42" t="s">
        <v>39</v>
      </c>
      <c r="U127" s="42" t="s">
        <v>52</v>
      </c>
      <c r="V127" s="42" t="s">
        <v>361</v>
      </c>
      <c r="W127" s="42" t="s">
        <v>176</v>
      </c>
      <c r="X127" s="42" t="s">
        <v>43</v>
      </c>
      <c r="Y127" s="42" t="s">
        <v>44</v>
      </c>
      <c r="Z127" s="46" t="s">
        <v>351</v>
      </c>
      <c r="AA127" s="84" t="s">
        <v>46</v>
      </c>
    </row>
    <row r="128" spans="1:27" ht="71.25" customHeight="1" x14ac:dyDescent="0.25">
      <c r="A128" s="17" t="s">
        <v>377</v>
      </c>
      <c r="B128" s="18" t="s">
        <v>362</v>
      </c>
      <c r="C128" s="19" t="s">
        <v>378</v>
      </c>
      <c r="D128" s="19"/>
      <c r="E128" s="20">
        <v>43889</v>
      </c>
      <c r="F128" s="21" t="s">
        <v>115</v>
      </c>
      <c r="G128" s="205" t="s">
        <v>115</v>
      </c>
      <c r="H128" s="199" t="s">
        <v>379</v>
      </c>
      <c r="I128" s="87" t="s">
        <v>34</v>
      </c>
      <c r="J128" s="19" t="s">
        <v>203</v>
      </c>
      <c r="K128" s="29" t="s">
        <v>380</v>
      </c>
      <c r="L128" s="203" t="s">
        <v>381</v>
      </c>
      <c r="M128" s="26">
        <f t="shared" si="3"/>
        <v>99942509</v>
      </c>
      <c r="N128" s="26">
        <f t="shared" si="2"/>
        <v>99942509</v>
      </c>
      <c r="O128" s="26">
        <f>100000000-57491</f>
        <v>99942509</v>
      </c>
      <c r="P128" s="26" t="s">
        <v>119</v>
      </c>
      <c r="Q128" s="26"/>
      <c r="R128" s="26"/>
      <c r="S128" s="29" t="s">
        <v>38</v>
      </c>
      <c r="T128" s="29" t="s">
        <v>39</v>
      </c>
      <c r="U128" s="29" t="s">
        <v>40</v>
      </c>
      <c r="V128" s="29" t="s">
        <v>350</v>
      </c>
      <c r="W128" s="29" t="s">
        <v>176</v>
      </c>
      <c r="X128" s="29" t="s">
        <v>43</v>
      </c>
      <c r="Y128" s="29" t="s">
        <v>44</v>
      </c>
      <c r="Z128" s="30" t="s">
        <v>351</v>
      </c>
      <c r="AA128" s="85" t="s">
        <v>46</v>
      </c>
    </row>
    <row r="129" spans="1:27" ht="71.25" customHeight="1" x14ac:dyDescent="0.25">
      <c r="A129" s="55" t="s">
        <v>377</v>
      </c>
      <c r="B129" s="56" t="s">
        <v>368</v>
      </c>
      <c r="C129" s="57" t="s">
        <v>382</v>
      </c>
      <c r="D129" s="57"/>
      <c r="E129" s="58"/>
      <c r="F129" s="76"/>
      <c r="G129" s="206"/>
      <c r="H129" s="201"/>
      <c r="I129" s="202"/>
      <c r="J129" s="57"/>
      <c r="K129" s="33" t="s">
        <v>380</v>
      </c>
      <c r="L129" s="204" t="s">
        <v>383</v>
      </c>
      <c r="M129" s="64">
        <f t="shared" si="3"/>
        <v>57491</v>
      </c>
      <c r="N129" s="64">
        <f>+O129+P129</f>
        <v>57491</v>
      </c>
      <c r="O129" s="64">
        <f>100000000-99942509</f>
        <v>57491</v>
      </c>
      <c r="P129" s="64"/>
      <c r="Q129" s="64"/>
      <c r="R129" s="64"/>
      <c r="S129" s="33"/>
      <c r="T129" s="33"/>
      <c r="U129" s="33" t="s">
        <v>75</v>
      </c>
      <c r="V129" s="33" t="s">
        <v>350</v>
      </c>
      <c r="W129" s="33" t="s">
        <v>176</v>
      </c>
      <c r="X129" s="33" t="s">
        <v>43</v>
      </c>
      <c r="Y129" s="33" t="s">
        <v>44</v>
      </c>
      <c r="Z129" s="48" t="s">
        <v>356</v>
      </c>
      <c r="AA129" s="95" t="s">
        <v>46</v>
      </c>
    </row>
    <row r="130" spans="1:27" ht="71.25" customHeight="1" x14ac:dyDescent="0.25">
      <c r="A130" s="17" t="s">
        <v>377</v>
      </c>
      <c r="B130" s="18" t="s">
        <v>384</v>
      </c>
      <c r="C130" s="19" t="s">
        <v>385</v>
      </c>
      <c r="D130" s="19"/>
      <c r="E130" s="20">
        <v>43889</v>
      </c>
      <c r="F130" s="21" t="s">
        <v>115</v>
      </c>
      <c r="G130" s="205" t="s">
        <v>115</v>
      </c>
      <c r="H130" s="199">
        <v>2</v>
      </c>
      <c r="I130" s="87" t="s">
        <v>34</v>
      </c>
      <c r="J130" s="19" t="s">
        <v>225</v>
      </c>
      <c r="K130" s="29" t="s">
        <v>386</v>
      </c>
      <c r="L130" s="203" t="s">
        <v>387</v>
      </c>
      <c r="M130" s="26">
        <f t="shared" si="3"/>
        <v>7998000</v>
      </c>
      <c r="N130" s="26">
        <f t="shared" si="2"/>
        <v>7998000</v>
      </c>
      <c r="O130" s="26">
        <f>10000000-2002000</f>
        <v>7998000</v>
      </c>
      <c r="P130" s="26" t="s">
        <v>119</v>
      </c>
      <c r="Q130" s="26"/>
      <c r="R130" s="26"/>
      <c r="S130" s="29" t="s">
        <v>38</v>
      </c>
      <c r="T130" s="29" t="s">
        <v>39</v>
      </c>
      <c r="U130" s="29" t="s">
        <v>40</v>
      </c>
      <c r="V130" s="29" t="s">
        <v>350</v>
      </c>
      <c r="W130" s="29" t="s">
        <v>176</v>
      </c>
      <c r="X130" s="29" t="s">
        <v>43</v>
      </c>
      <c r="Y130" s="29" t="s">
        <v>44</v>
      </c>
      <c r="Z130" s="30" t="s">
        <v>351</v>
      </c>
      <c r="AA130" s="85" t="s">
        <v>46</v>
      </c>
    </row>
    <row r="131" spans="1:27" ht="71.25" customHeight="1" x14ac:dyDescent="0.25">
      <c r="A131" s="55" t="s">
        <v>377</v>
      </c>
      <c r="B131" s="56" t="s">
        <v>388</v>
      </c>
      <c r="C131" s="57" t="s">
        <v>389</v>
      </c>
      <c r="D131" s="57"/>
      <c r="E131" s="58"/>
      <c r="F131" s="76"/>
      <c r="G131" s="206"/>
      <c r="H131" s="201"/>
      <c r="I131" s="202"/>
      <c r="J131" s="57"/>
      <c r="K131" s="33" t="s">
        <v>386</v>
      </c>
      <c r="L131" s="204" t="s">
        <v>390</v>
      </c>
      <c r="M131" s="64">
        <f t="shared" si="3"/>
        <v>2002001</v>
      </c>
      <c r="N131" s="64">
        <f t="shared" si="2"/>
        <v>2002001</v>
      </c>
      <c r="O131" s="64">
        <f>10000000-7998000</f>
        <v>2002000</v>
      </c>
      <c r="P131" s="64" t="s">
        <v>391</v>
      </c>
      <c r="Q131" s="64"/>
      <c r="R131" s="64"/>
      <c r="S131" s="33" t="s">
        <v>38</v>
      </c>
      <c r="T131" s="33" t="s">
        <v>39</v>
      </c>
      <c r="U131" s="33" t="s">
        <v>75</v>
      </c>
      <c r="V131" s="33"/>
      <c r="W131" s="33"/>
      <c r="X131" s="33"/>
      <c r="Y131" s="33"/>
      <c r="Z131" s="48"/>
      <c r="AA131" s="95"/>
    </row>
    <row r="132" spans="1:27" ht="42.75" customHeight="1" x14ac:dyDescent="0.25">
      <c r="A132" s="17" t="s">
        <v>377</v>
      </c>
      <c r="B132" s="18" t="s">
        <v>392</v>
      </c>
      <c r="C132" s="19" t="s">
        <v>393</v>
      </c>
      <c r="D132" s="49">
        <v>44012</v>
      </c>
      <c r="E132" s="68"/>
      <c r="F132" s="21"/>
      <c r="G132" s="21"/>
      <c r="H132" s="53" t="s">
        <v>379</v>
      </c>
      <c r="I132" s="23" t="s">
        <v>34</v>
      </c>
      <c r="J132" s="24" t="s">
        <v>55</v>
      </c>
      <c r="K132" s="24" t="s">
        <v>394</v>
      </c>
      <c r="L132" s="89" t="s">
        <v>37</v>
      </c>
      <c r="M132" s="26">
        <f t="shared" si="3"/>
        <v>332618904</v>
      </c>
      <c r="N132" s="26">
        <f t="shared" si="2"/>
        <v>332618904</v>
      </c>
      <c r="O132" s="26">
        <f>332618904</f>
        <v>332618904</v>
      </c>
      <c r="P132" s="26" t="s">
        <v>119</v>
      </c>
      <c r="Q132" s="26"/>
      <c r="R132" s="26"/>
      <c r="S132" s="29" t="s">
        <v>38</v>
      </c>
      <c r="T132" s="29" t="s">
        <v>39</v>
      </c>
      <c r="U132" s="29" t="s">
        <v>57</v>
      </c>
      <c r="V132" s="29" t="s">
        <v>350</v>
      </c>
      <c r="W132" s="29" t="s">
        <v>176</v>
      </c>
      <c r="X132" s="29" t="s">
        <v>43</v>
      </c>
      <c r="Y132" s="29" t="s">
        <v>44</v>
      </c>
      <c r="Z132" s="30" t="s">
        <v>351</v>
      </c>
      <c r="AA132" s="85" t="s">
        <v>46</v>
      </c>
    </row>
    <row r="133" spans="1:27" ht="57" customHeight="1" x14ac:dyDescent="0.25">
      <c r="A133" s="17" t="s">
        <v>377</v>
      </c>
      <c r="B133" s="18" t="s">
        <v>392</v>
      </c>
      <c r="C133" s="19" t="s">
        <v>395</v>
      </c>
      <c r="D133" s="49"/>
      <c r="E133" s="20">
        <v>43955</v>
      </c>
      <c r="F133" s="21" t="s">
        <v>59</v>
      </c>
      <c r="G133" s="205" t="s">
        <v>32</v>
      </c>
      <c r="H133" s="199">
        <v>6</v>
      </c>
      <c r="I133" s="87" t="s">
        <v>34</v>
      </c>
      <c r="J133" s="19" t="s">
        <v>35</v>
      </c>
      <c r="K133" s="29" t="s">
        <v>394</v>
      </c>
      <c r="L133" s="203" t="s">
        <v>37</v>
      </c>
      <c r="M133" s="26">
        <f>+N133+Q133+R133</f>
        <v>1370436325</v>
      </c>
      <c r="N133" s="26">
        <f t="shared" si="2"/>
        <v>329862292</v>
      </c>
      <c r="O133" s="26">
        <f>330517864+2101040-703000-1368040-685572</f>
        <v>329862292</v>
      </c>
      <c r="P133" s="26" t="s">
        <v>119</v>
      </c>
      <c r="Q133" s="26">
        <v>683319735</v>
      </c>
      <c r="R133" s="26">
        <v>357254298</v>
      </c>
      <c r="S133" s="29" t="s">
        <v>188</v>
      </c>
      <c r="T133" s="29" t="s">
        <v>180</v>
      </c>
      <c r="U133" s="29" t="s">
        <v>40</v>
      </c>
      <c r="V133" s="29" t="s">
        <v>350</v>
      </c>
      <c r="W133" s="29" t="s">
        <v>176</v>
      </c>
      <c r="X133" s="29" t="s">
        <v>43</v>
      </c>
      <c r="Y133" s="29" t="s">
        <v>44</v>
      </c>
      <c r="Z133" s="30" t="s">
        <v>351</v>
      </c>
      <c r="AA133" s="85" t="s">
        <v>46</v>
      </c>
    </row>
    <row r="134" spans="1:27" ht="57" customHeight="1" x14ac:dyDescent="0.25">
      <c r="A134" s="55" t="s">
        <v>377</v>
      </c>
      <c r="B134" s="56" t="s">
        <v>392</v>
      </c>
      <c r="C134" s="57" t="s">
        <v>396</v>
      </c>
      <c r="D134" s="93"/>
      <c r="E134" s="58"/>
      <c r="F134" s="76"/>
      <c r="G134" s="206"/>
      <c r="H134" s="201"/>
      <c r="I134" s="202"/>
      <c r="J134" s="57"/>
      <c r="K134" s="33" t="s">
        <v>394</v>
      </c>
      <c r="L134" s="204" t="s">
        <v>37</v>
      </c>
      <c r="M134" s="64">
        <f>+N134+Q134+R134</f>
        <v>685572</v>
      </c>
      <c r="N134" s="64">
        <f t="shared" si="2"/>
        <v>685572</v>
      </c>
      <c r="O134" s="64">
        <v>685572</v>
      </c>
      <c r="P134" s="64" t="s">
        <v>119</v>
      </c>
      <c r="Q134" s="64"/>
      <c r="R134" s="64"/>
      <c r="S134" s="33" t="s">
        <v>188</v>
      </c>
      <c r="T134" s="33" t="s">
        <v>180</v>
      </c>
      <c r="U134" s="33" t="s">
        <v>75</v>
      </c>
      <c r="V134" s="33" t="s">
        <v>350</v>
      </c>
      <c r="W134" s="33" t="s">
        <v>176</v>
      </c>
      <c r="X134" s="33" t="s">
        <v>43</v>
      </c>
      <c r="Y134" s="33" t="s">
        <v>44</v>
      </c>
      <c r="Z134" s="48" t="s">
        <v>351</v>
      </c>
      <c r="AA134" s="95" t="s">
        <v>46</v>
      </c>
    </row>
    <row r="135" spans="1:27" ht="42.75" customHeight="1" x14ac:dyDescent="0.25">
      <c r="A135" s="17" t="s">
        <v>377</v>
      </c>
      <c r="B135" s="18">
        <v>78102201</v>
      </c>
      <c r="C135" s="19" t="s">
        <v>397</v>
      </c>
      <c r="D135" s="49">
        <v>44012</v>
      </c>
      <c r="E135" s="20"/>
      <c r="F135" s="21"/>
      <c r="G135" s="21"/>
      <c r="H135" s="53" t="s">
        <v>379</v>
      </c>
      <c r="I135" s="23" t="s">
        <v>34</v>
      </c>
      <c r="J135" s="24" t="s">
        <v>55</v>
      </c>
      <c r="K135" s="24" t="s">
        <v>398</v>
      </c>
      <c r="L135" s="89" t="s">
        <v>37</v>
      </c>
      <c r="M135" s="26">
        <f t="shared" si="3"/>
        <v>224910000</v>
      </c>
      <c r="N135" s="26">
        <f t="shared" si="2"/>
        <v>224910000</v>
      </c>
      <c r="O135" s="26">
        <v>224910000</v>
      </c>
      <c r="P135" s="26" t="s">
        <v>119</v>
      </c>
      <c r="Q135" s="26"/>
      <c r="R135" s="26"/>
      <c r="S135" s="29" t="s">
        <v>38</v>
      </c>
      <c r="T135" s="29" t="s">
        <v>39</v>
      </c>
      <c r="U135" s="29" t="s">
        <v>57</v>
      </c>
      <c r="V135" s="29" t="s">
        <v>350</v>
      </c>
      <c r="W135" s="29" t="s">
        <v>176</v>
      </c>
      <c r="X135" s="29" t="s">
        <v>43</v>
      </c>
      <c r="Y135" s="29" t="s">
        <v>44</v>
      </c>
      <c r="Z135" s="30" t="s">
        <v>351</v>
      </c>
      <c r="AA135" s="85" t="s">
        <v>46</v>
      </c>
    </row>
    <row r="136" spans="1:27" ht="57" customHeight="1" x14ac:dyDescent="0.25">
      <c r="A136" s="17" t="s">
        <v>377</v>
      </c>
      <c r="B136" s="18">
        <v>78102201</v>
      </c>
      <c r="C136" s="19" t="s">
        <v>399</v>
      </c>
      <c r="D136" s="19"/>
      <c r="E136" s="20">
        <v>43955</v>
      </c>
      <c r="F136" s="21" t="s">
        <v>59</v>
      </c>
      <c r="G136" s="205" t="s">
        <v>32</v>
      </c>
      <c r="H136" s="199">
        <v>6</v>
      </c>
      <c r="I136" s="87" t="s">
        <v>34</v>
      </c>
      <c r="J136" s="19" t="s">
        <v>35</v>
      </c>
      <c r="K136" s="29" t="s">
        <v>398</v>
      </c>
      <c r="L136" s="203" t="s">
        <v>37</v>
      </c>
      <c r="M136" s="26">
        <f t="shared" si="3"/>
        <v>714217875</v>
      </c>
      <c r="N136" s="26">
        <f t="shared" si="2"/>
        <v>171957988</v>
      </c>
      <c r="O136" s="26">
        <f>173945940-1987952</f>
        <v>171957988</v>
      </c>
      <c r="P136" s="26" t="s">
        <v>119</v>
      </c>
      <c r="Q136" s="26">
        <v>356984784</v>
      </c>
      <c r="R136" s="26">
        <v>185275103</v>
      </c>
      <c r="S136" s="29" t="s">
        <v>188</v>
      </c>
      <c r="T136" s="29" t="s">
        <v>180</v>
      </c>
      <c r="U136" s="29" t="s">
        <v>40</v>
      </c>
      <c r="V136" s="29" t="s">
        <v>350</v>
      </c>
      <c r="W136" s="29" t="s">
        <v>176</v>
      </c>
      <c r="X136" s="29" t="s">
        <v>43</v>
      </c>
      <c r="Y136" s="29" t="s">
        <v>44</v>
      </c>
      <c r="Z136" s="30" t="s">
        <v>351</v>
      </c>
      <c r="AA136" s="85" t="s">
        <v>46</v>
      </c>
    </row>
    <row r="137" spans="1:27" ht="57" customHeight="1" x14ac:dyDescent="0.25">
      <c r="A137" s="55" t="s">
        <v>377</v>
      </c>
      <c r="B137" s="56">
        <v>78102201</v>
      </c>
      <c r="C137" s="57" t="s">
        <v>400</v>
      </c>
      <c r="D137" s="57"/>
      <c r="E137" s="58"/>
      <c r="F137" s="76"/>
      <c r="G137" s="206"/>
      <c r="H137" s="201"/>
      <c r="I137" s="202"/>
      <c r="J137" s="57"/>
      <c r="K137" s="33" t="s">
        <v>398</v>
      </c>
      <c r="L137" s="204" t="s">
        <v>37</v>
      </c>
      <c r="M137" s="64">
        <f>+N137+Q137+R137</f>
        <v>1987952</v>
      </c>
      <c r="N137" s="64">
        <f t="shared" si="2"/>
        <v>1987952</v>
      </c>
      <c r="O137" s="64">
        <f>173945940-171957988</f>
        <v>1987952</v>
      </c>
      <c r="P137" s="64" t="s">
        <v>119</v>
      </c>
      <c r="Q137" s="64"/>
      <c r="R137" s="64"/>
      <c r="S137" s="33"/>
      <c r="T137" s="33"/>
      <c r="U137" s="33" t="s">
        <v>75</v>
      </c>
      <c r="V137" s="33" t="s">
        <v>350</v>
      </c>
      <c r="W137" s="33" t="s">
        <v>176</v>
      </c>
      <c r="X137" s="33" t="s">
        <v>43</v>
      </c>
      <c r="Y137" s="33" t="s">
        <v>44</v>
      </c>
      <c r="Z137" s="48" t="s">
        <v>351</v>
      </c>
      <c r="AA137" s="95" t="s">
        <v>46</v>
      </c>
    </row>
    <row r="138" spans="1:27" ht="42.75" customHeight="1" x14ac:dyDescent="0.25">
      <c r="A138" s="17" t="s">
        <v>401</v>
      </c>
      <c r="B138" s="18">
        <v>78181701</v>
      </c>
      <c r="C138" s="19" t="s">
        <v>402</v>
      </c>
      <c r="D138" s="49">
        <v>44165</v>
      </c>
      <c r="E138" s="20"/>
      <c r="F138" s="21"/>
      <c r="G138" s="21"/>
      <c r="H138" s="53">
        <v>11</v>
      </c>
      <c r="I138" s="23" t="s">
        <v>34</v>
      </c>
      <c r="J138" s="24" t="s">
        <v>55</v>
      </c>
      <c r="K138" s="24" t="s">
        <v>403</v>
      </c>
      <c r="L138" s="89" t="s">
        <v>404</v>
      </c>
      <c r="M138" s="26">
        <f t="shared" si="3"/>
        <v>71005142</v>
      </c>
      <c r="N138" s="26">
        <f t="shared" si="2"/>
        <v>71005142</v>
      </c>
      <c r="O138" s="26">
        <f>71005142</f>
        <v>71005142</v>
      </c>
      <c r="P138" s="26">
        <v>0</v>
      </c>
      <c r="Q138" s="26"/>
      <c r="R138" s="26"/>
      <c r="S138" s="29" t="s">
        <v>38</v>
      </c>
      <c r="T138" s="29" t="s">
        <v>39</v>
      </c>
      <c r="U138" s="29" t="s">
        <v>57</v>
      </c>
      <c r="V138" s="29" t="s">
        <v>405</v>
      </c>
      <c r="W138" s="29" t="s">
        <v>176</v>
      </c>
      <c r="X138" s="29" t="s">
        <v>43</v>
      </c>
      <c r="Y138" s="29" t="s">
        <v>44</v>
      </c>
      <c r="Z138" s="30" t="s">
        <v>177</v>
      </c>
      <c r="AA138" s="85" t="s">
        <v>46</v>
      </c>
    </row>
    <row r="139" spans="1:27" ht="42.75" customHeight="1" x14ac:dyDescent="0.25">
      <c r="A139" s="55" t="s">
        <v>401</v>
      </c>
      <c r="B139" s="56">
        <v>78181702</v>
      </c>
      <c r="C139" s="57" t="s">
        <v>406</v>
      </c>
      <c r="D139" s="93"/>
      <c r="E139" s="58">
        <v>44078</v>
      </c>
      <c r="F139" s="76" t="s">
        <v>71</v>
      </c>
      <c r="G139" s="76" t="s">
        <v>223</v>
      </c>
      <c r="H139" s="67">
        <v>19</v>
      </c>
      <c r="I139" s="61" t="s">
        <v>34</v>
      </c>
      <c r="J139" s="62" t="s">
        <v>179</v>
      </c>
      <c r="K139" s="62" t="s">
        <v>403</v>
      </c>
      <c r="L139" s="94" t="s">
        <v>407</v>
      </c>
      <c r="M139" s="64">
        <f>+N139+Q139+R139</f>
        <v>128867563</v>
      </c>
      <c r="N139" s="64">
        <f t="shared" si="2"/>
        <v>7491733</v>
      </c>
      <c r="O139" s="64">
        <v>7491733</v>
      </c>
      <c r="P139" s="64"/>
      <c r="Q139" s="64">
        <v>79590708</v>
      </c>
      <c r="R139" s="64">
        <v>41785122</v>
      </c>
      <c r="S139" s="33" t="s">
        <v>98</v>
      </c>
      <c r="T139" s="33" t="s">
        <v>180</v>
      </c>
      <c r="U139" s="33"/>
      <c r="V139" s="33" t="s">
        <v>405</v>
      </c>
      <c r="W139" s="33" t="s">
        <v>176</v>
      </c>
      <c r="X139" s="33" t="s">
        <v>43</v>
      </c>
      <c r="Y139" s="33" t="s">
        <v>44</v>
      </c>
      <c r="Z139" s="48" t="s">
        <v>182</v>
      </c>
      <c r="AA139" s="95" t="s">
        <v>46</v>
      </c>
    </row>
    <row r="140" spans="1:27" ht="42.75" customHeight="1" x14ac:dyDescent="0.25">
      <c r="A140" s="55" t="s">
        <v>401</v>
      </c>
      <c r="B140" s="56">
        <v>78181702</v>
      </c>
      <c r="C140" s="57" t="s">
        <v>408</v>
      </c>
      <c r="D140" s="93"/>
      <c r="E140" s="58">
        <v>44078</v>
      </c>
      <c r="F140" s="76"/>
      <c r="G140" s="76"/>
      <c r="H140" s="67"/>
      <c r="I140" s="61"/>
      <c r="J140" s="62"/>
      <c r="K140" s="62" t="s">
        <v>403</v>
      </c>
      <c r="L140" s="94" t="s">
        <v>407</v>
      </c>
      <c r="M140" s="64">
        <f>+N140+Q140+R140</f>
        <v>383267</v>
      </c>
      <c r="N140" s="64">
        <f t="shared" si="2"/>
        <v>383267</v>
      </c>
      <c r="O140" s="64">
        <v>383267</v>
      </c>
      <c r="P140" s="64"/>
      <c r="Q140" s="64"/>
      <c r="R140" s="64"/>
      <c r="S140" s="33" t="s">
        <v>38</v>
      </c>
      <c r="T140" s="33" t="s">
        <v>39</v>
      </c>
      <c r="U140" s="33" t="s">
        <v>75</v>
      </c>
      <c r="V140" s="33" t="s">
        <v>405</v>
      </c>
      <c r="W140" s="33" t="s">
        <v>176</v>
      </c>
      <c r="X140" s="33" t="s">
        <v>43</v>
      </c>
      <c r="Y140" s="33" t="s">
        <v>44</v>
      </c>
      <c r="Z140" s="48" t="s">
        <v>182</v>
      </c>
      <c r="AA140" s="95" t="s">
        <v>46</v>
      </c>
    </row>
    <row r="141" spans="1:27" ht="42" customHeight="1" x14ac:dyDescent="0.25">
      <c r="A141" s="17" t="s">
        <v>401</v>
      </c>
      <c r="B141" s="18" t="s">
        <v>409</v>
      </c>
      <c r="C141" s="19" t="s">
        <v>410</v>
      </c>
      <c r="D141" s="49">
        <v>44165</v>
      </c>
      <c r="E141" s="20">
        <v>44078</v>
      </c>
      <c r="F141" s="21" t="s">
        <v>71</v>
      </c>
      <c r="G141" s="21" t="s">
        <v>223</v>
      </c>
      <c r="H141" s="53">
        <v>11</v>
      </c>
      <c r="I141" s="23" t="s">
        <v>34</v>
      </c>
      <c r="J141" s="24" t="s">
        <v>55</v>
      </c>
      <c r="K141" s="24" t="s">
        <v>411</v>
      </c>
      <c r="L141" s="89" t="s">
        <v>412</v>
      </c>
      <c r="M141" s="26">
        <f t="shared" si="3"/>
        <v>182770743</v>
      </c>
      <c r="N141" s="26">
        <f t="shared" si="2"/>
        <v>182770743</v>
      </c>
      <c r="O141" s="26">
        <f>164770743+18000000</f>
        <v>182770743</v>
      </c>
      <c r="P141" s="26">
        <v>0</v>
      </c>
      <c r="Q141" s="26"/>
      <c r="R141" s="26"/>
      <c r="S141" s="29" t="s">
        <v>38</v>
      </c>
      <c r="T141" s="29" t="s">
        <v>39</v>
      </c>
      <c r="U141" s="29" t="s">
        <v>57</v>
      </c>
      <c r="V141" s="29" t="s">
        <v>405</v>
      </c>
      <c r="W141" s="29" t="s">
        <v>176</v>
      </c>
      <c r="X141" s="29" t="s">
        <v>43</v>
      </c>
      <c r="Y141" s="29" t="s">
        <v>44</v>
      </c>
      <c r="Z141" s="30" t="s">
        <v>177</v>
      </c>
      <c r="AA141" s="85" t="s">
        <v>46</v>
      </c>
    </row>
    <row r="142" spans="1:27" ht="42" customHeight="1" x14ac:dyDescent="0.25">
      <c r="A142" s="34" t="s">
        <v>401</v>
      </c>
      <c r="B142" s="35" t="s">
        <v>413</v>
      </c>
      <c r="C142" s="36" t="s">
        <v>414</v>
      </c>
      <c r="D142" s="83"/>
      <c r="E142" s="80">
        <v>44078</v>
      </c>
      <c r="F142" s="39" t="s">
        <v>71</v>
      </c>
      <c r="G142" s="39" t="s">
        <v>223</v>
      </c>
      <c r="H142" s="81">
        <v>20</v>
      </c>
      <c r="I142" s="41" t="s">
        <v>34</v>
      </c>
      <c r="J142" s="43" t="s">
        <v>151</v>
      </c>
      <c r="K142" s="43" t="s">
        <v>411</v>
      </c>
      <c r="L142" s="126" t="s">
        <v>415</v>
      </c>
      <c r="M142" s="44">
        <f>+N142+Q142+R142</f>
        <v>604860229</v>
      </c>
      <c r="N142" s="44">
        <f t="shared" si="2"/>
        <v>28373882</v>
      </c>
      <c r="O142" s="44">
        <f>18252544+10121338</f>
        <v>28373882</v>
      </c>
      <c r="P142" s="44"/>
      <c r="Q142" s="44">
        <f>340000000+17510912</f>
        <v>357510912</v>
      </c>
      <c r="R142" s="44">
        <f>212000000+6975435</f>
        <v>218975435</v>
      </c>
      <c r="S142" s="42" t="s">
        <v>291</v>
      </c>
      <c r="T142" s="42" t="s">
        <v>180</v>
      </c>
      <c r="U142" s="42" t="s">
        <v>52</v>
      </c>
      <c r="V142" s="42" t="s">
        <v>405</v>
      </c>
      <c r="W142" s="42" t="s">
        <v>176</v>
      </c>
      <c r="X142" s="42" t="s">
        <v>43</v>
      </c>
      <c r="Y142" s="42" t="s">
        <v>44</v>
      </c>
      <c r="Z142" s="46" t="s">
        <v>182</v>
      </c>
      <c r="AA142" s="84" t="s">
        <v>46</v>
      </c>
    </row>
    <row r="143" spans="1:27" ht="42" customHeight="1" x14ac:dyDescent="0.25">
      <c r="A143" s="17" t="s">
        <v>401</v>
      </c>
      <c r="B143" s="18" t="s">
        <v>416</v>
      </c>
      <c r="C143" s="19" t="s">
        <v>417</v>
      </c>
      <c r="D143" s="49">
        <v>44165</v>
      </c>
      <c r="E143" s="20"/>
      <c r="F143" s="21"/>
      <c r="G143" s="21"/>
      <c r="H143" s="53">
        <v>11</v>
      </c>
      <c r="I143" s="23" t="s">
        <v>34</v>
      </c>
      <c r="J143" s="24" t="s">
        <v>55</v>
      </c>
      <c r="K143" s="24" t="s">
        <v>418</v>
      </c>
      <c r="L143" s="89" t="s">
        <v>419</v>
      </c>
      <c r="M143" s="26">
        <f t="shared" si="3"/>
        <v>137765002.3545455</v>
      </c>
      <c r="N143" s="26">
        <f t="shared" si="2"/>
        <v>137765002.3545455</v>
      </c>
      <c r="O143" s="26">
        <f>150915298-13150295.6454545</f>
        <v>137765002.3545455</v>
      </c>
      <c r="P143" s="26">
        <v>0</v>
      </c>
      <c r="Q143" s="26"/>
      <c r="R143" s="26"/>
      <c r="S143" s="29" t="s">
        <v>38</v>
      </c>
      <c r="T143" s="29" t="s">
        <v>39</v>
      </c>
      <c r="U143" s="29" t="s">
        <v>57</v>
      </c>
      <c r="V143" s="29" t="s">
        <v>405</v>
      </c>
      <c r="W143" s="29" t="s">
        <v>176</v>
      </c>
      <c r="X143" s="29" t="s">
        <v>43</v>
      </c>
      <c r="Y143" s="29" t="s">
        <v>44</v>
      </c>
      <c r="Z143" s="30" t="s">
        <v>177</v>
      </c>
      <c r="AA143" s="85" t="s">
        <v>46</v>
      </c>
    </row>
    <row r="144" spans="1:27" ht="42" customHeight="1" x14ac:dyDescent="0.25">
      <c r="A144" s="34" t="s">
        <v>401</v>
      </c>
      <c r="B144" s="35" t="s">
        <v>420</v>
      </c>
      <c r="C144" s="36" t="s">
        <v>421</v>
      </c>
      <c r="D144" s="83"/>
      <c r="E144" s="80">
        <v>44070</v>
      </c>
      <c r="F144" s="39" t="s">
        <v>50</v>
      </c>
      <c r="G144" s="39" t="s">
        <v>71</v>
      </c>
      <c r="H144" s="81">
        <v>20</v>
      </c>
      <c r="I144" s="41" t="s">
        <v>34</v>
      </c>
      <c r="J144" s="43" t="s">
        <v>249</v>
      </c>
      <c r="K144" s="43" t="s">
        <v>422</v>
      </c>
      <c r="L144" s="126" t="s">
        <v>423</v>
      </c>
      <c r="M144" s="44">
        <f>+N144+Q144+R144</f>
        <v>280331434.64545453</v>
      </c>
      <c r="N144" s="44">
        <f t="shared" si="2"/>
        <v>13150295.6454545</v>
      </c>
      <c r="O144" s="44">
        <v>13150295.6454545</v>
      </c>
      <c r="P144" s="44"/>
      <c r="Q144" s="209">
        <v>165693732</v>
      </c>
      <c r="R144" s="209">
        <v>101487407</v>
      </c>
      <c r="S144" s="42" t="s">
        <v>291</v>
      </c>
      <c r="T144" s="42" t="s">
        <v>180</v>
      </c>
      <c r="U144" s="42" t="s">
        <v>52</v>
      </c>
      <c r="V144" s="42" t="s">
        <v>405</v>
      </c>
      <c r="W144" s="42" t="s">
        <v>176</v>
      </c>
      <c r="X144" s="42" t="s">
        <v>43</v>
      </c>
      <c r="Y144" s="42" t="s">
        <v>44</v>
      </c>
      <c r="Z144" s="46" t="s">
        <v>182</v>
      </c>
      <c r="AA144" s="84" t="s">
        <v>46</v>
      </c>
    </row>
    <row r="145" spans="1:27" ht="57" customHeight="1" x14ac:dyDescent="0.25">
      <c r="A145" s="17" t="s">
        <v>401</v>
      </c>
      <c r="B145" s="18" t="s">
        <v>424</v>
      </c>
      <c r="C145" s="19" t="s">
        <v>425</v>
      </c>
      <c r="D145" s="49">
        <v>44135</v>
      </c>
      <c r="E145" s="20">
        <v>44022</v>
      </c>
      <c r="F145" s="21" t="s">
        <v>50</v>
      </c>
      <c r="G145" s="21" t="s">
        <v>71</v>
      </c>
      <c r="H145" s="53">
        <v>10</v>
      </c>
      <c r="I145" s="23" t="s">
        <v>34</v>
      </c>
      <c r="J145" s="24" t="s">
        <v>55</v>
      </c>
      <c r="K145" s="24" t="s">
        <v>426</v>
      </c>
      <c r="L145" s="89" t="s">
        <v>427</v>
      </c>
      <c r="M145" s="26">
        <f t="shared" si="3"/>
        <v>669030518</v>
      </c>
      <c r="N145" s="26">
        <f t="shared" ref="N145:N214" si="4">+O145+P145</f>
        <v>669030518</v>
      </c>
      <c r="O145" s="26">
        <f>213543660+362053412</f>
        <v>575597072</v>
      </c>
      <c r="P145" s="26">
        <v>93433446</v>
      </c>
      <c r="Q145" s="26"/>
      <c r="R145" s="26"/>
      <c r="S145" s="29" t="s">
        <v>38</v>
      </c>
      <c r="T145" s="29" t="s">
        <v>39</v>
      </c>
      <c r="U145" s="29" t="s">
        <v>57</v>
      </c>
      <c r="V145" s="29" t="s">
        <v>405</v>
      </c>
      <c r="W145" s="29" t="s">
        <v>176</v>
      </c>
      <c r="X145" s="29" t="s">
        <v>43</v>
      </c>
      <c r="Y145" s="29" t="s">
        <v>44</v>
      </c>
      <c r="Z145" s="30" t="s">
        <v>177</v>
      </c>
      <c r="AA145" s="85" t="s">
        <v>46</v>
      </c>
    </row>
    <row r="146" spans="1:27" ht="54.65" customHeight="1" x14ac:dyDescent="0.25">
      <c r="A146" s="34" t="s">
        <v>401</v>
      </c>
      <c r="B146" s="208" t="s">
        <v>424</v>
      </c>
      <c r="C146" s="210" t="s">
        <v>428</v>
      </c>
      <c r="D146" s="211"/>
      <c r="E146" s="212">
        <v>44074</v>
      </c>
      <c r="F146" s="112" t="s">
        <v>50</v>
      </c>
      <c r="G146" s="117" t="s">
        <v>71</v>
      </c>
      <c r="H146" s="46">
        <v>19.5</v>
      </c>
      <c r="I146" s="208" t="s">
        <v>34</v>
      </c>
      <c r="J146" s="213" t="s">
        <v>179</v>
      </c>
      <c r="K146" s="208" t="s">
        <v>426</v>
      </c>
      <c r="L146" s="214" t="s">
        <v>429</v>
      </c>
      <c r="M146" s="44">
        <f t="shared" si="3"/>
        <v>1487805687</v>
      </c>
      <c r="N146" s="44">
        <f t="shared" si="4"/>
        <v>144001520</v>
      </c>
      <c r="O146" s="44">
        <f>117301777-50233599+54163640</f>
        <v>121231818</v>
      </c>
      <c r="P146" s="44">
        <f>21979253+790449</f>
        <v>22769702</v>
      </c>
      <c r="Q146" s="44">
        <f>1116979596-209770032</f>
        <v>907209564</v>
      </c>
      <c r="R146" s="44">
        <f>684150003-247555400</f>
        <v>436594603</v>
      </c>
      <c r="S146" s="42" t="s">
        <v>291</v>
      </c>
      <c r="T146" s="42" t="s">
        <v>180</v>
      </c>
      <c r="U146" s="42" t="s">
        <v>52</v>
      </c>
      <c r="V146" s="42" t="s">
        <v>405</v>
      </c>
      <c r="W146" s="42" t="s">
        <v>176</v>
      </c>
      <c r="X146" s="42" t="s">
        <v>43</v>
      </c>
      <c r="Y146" s="42" t="s">
        <v>44</v>
      </c>
      <c r="Z146" s="46" t="s">
        <v>177</v>
      </c>
      <c r="AA146" s="215" t="s">
        <v>46</v>
      </c>
    </row>
    <row r="147" spans="1:27" ht="71.25" customHeight="1" x14ac:dyDescent="0.25">
      <c r="A147" s="17" t="s">
        <v>401</v>
      </c>
      <c r="B147" s="18" t="s">
        <v>424</v>
      </c>
      <c r="C147" s="19" t="s">
        <v>430</v>
      </c>
      <c r="D147" s="49">
        <v>44150</v>
      </c>
      <c r="E147" s="20">
        <v>44071</v>
      </c>
      <c r="F147" s="21" t="s">
        <v>50</v>
      </c>
      <c r="G147" s="21" t="s">
        <v>223</v>
      </c>
      <c r="H147" s="53">
        <v>10.5</v>
      </c>
      <c r="I147" s="23" t="s">
        <v>34</v>
      </c>
      <c r="J147" s="24" t="s">
        <v>55</v>
      </c>
      <c r="K147" s="24" t="s">
        <v>426</v>
      </c>
      <c r="L147" s="89" t="s">
        <v>37</v>
      </c>
      <c r="M147" s="26">
        <f t="shared" si="3"/>
        <v>1209406792.7537501</v>
      </c>
      <c r="N147" s="26">
        <f t="shared" si="4"/>
        <v>1209406792.7537501</v>
      </c>
      <c r="O147" s="26">
        <v>1141899414.7537501</v>
      </c>
      <c r="P147" s="26">
        <v>67507378</v>
      </c>
      <c r="Q147" s="26"/>
      <c r="R147" s="26"/>
      <c r="S147" s="29" t="s">
        <v>38</v>
      </c>
      <c r="T147" s="29" t="s">
        <v>39</v>
      </c>
      <c r="U147" s="29" t="s">
        <v>57</v>
      </c>
      <c r="V147" s="29" t="s">
        <v>405</v>
      </c>
      <c r="W147" s="29" t="s">
        <v>176</v>
      </c>
      <c r="X147" s="29" t="s">
        <v>43</v>
      </c>
      <c r="Y147" s="29" t="s">
        <v>44</v>
      </c>
      <c r="Z147" s="30" t="s">
        <v>177</v>
      </c>
      <c r="AA147" s="85" t="s">
        <v>46</v>
      </c>
    </row>
    <row r="148" spans="1:27" ht="111" customHeight="1" x14ac:dyDescent="0.25">
      <c r="A148" s="34" t="s">
        <v>401</v>
      </c>
      <c r="B148" s="208" t="s">
        <v>424</v>
      </c>
      <c r="C148" s="210" t="s">
        <v>431</v>
      </c>
      <c r="D148" s="211"/>
      <c r="E148" s="80">
        <v>44104</v>
      </c>
      <c r="F148" s="112" t="s">
        <v>71</v>
      </c>
      <c r="G148" s="117" t="s">
        <v>223</v>
      </c>
      <c r="H148" s="46">
        <v>19</v>
      </c>
      <c r="I148" s="41" t="s">
        <v>34</v>
      </c>
      <c r="J148" s="213" t="s">
        <v>179</v>
      </c>
      <c r="K148" s="208" t="s">
        <v>426</v>
      </c>
      <c r="L148" s="216" t="s">
        <v>37</v>
      </c>
      <c r="M148" s="209">
        <f t="shared" si="3"/>
        <v>2249718057</v>
      </c>
      <c r="N148" s="44">
        <f t="shared" si="4"/>
        <v>167358603</v>
      </c>
      <c r="O148" s="209">
        <v>148396190</v>
      </c>
      <c r="P148" s="209">
        <v>18962413</v>
      </c>
      <c r="Q148" s="44">
        <v>1405812288</v>
      </c>
      <c r="R148" s="44">
        <v>676547166</v>
      </c>
      <c r="S148" s="42" t="s">
        <v>291</v>
      </c>
      <c r="T148" s="42" t="s">
        <v>180</v>
      </c>
      <c r="U148" s="42" t="s">
        <v>52</v>
      </c>
      <c r="V148" s="42" t="s">
        <v>405</v>
      </c>
      <c r="W148" s="42" t="s">
        <v>176</v>
      </c>
      <c r="X148" s="42" t="s">
        <v>43</v>
      </c>
      <c r="Y148" s="42" t="s">
        <v>44</v>
      </c>
      <c r="Z148" s="46" t="s">
        <v>177</v>
      </c>
      <c r="AA148" s="215" t="s">
        <v>46</v>
      </c>
    </row>
    <row r="149" spans="1:27" ht="111" customHeight="1" x14ac:dyDescent="0.25">
      <c r="A149" s="34" t="s">
        <v>401</v>
      </c>
      <c r="B149" s="208" t="s">
        <v>424</v>
      </c>
      <c r="C149" s="210" t="s">
        <v>432</v>
      </c>
      <c r="D149" s="211"/>
      <c r="E149" s="80">
        <v>44134</v>
      </c>
      <c r="F149" s="112" t="s">
        <v>223</v>
      </c>
      <c r="G149" s="117" t="s">
        <v>433</v>
      </c>
      <c r="H149" s="46">
        <v>18</v>
      </c>
      <c r="I149" s="41" t="s">
        <v>34</v>
      </c>
      <c r="J149" s="213" t="s">
        <v>179</v>
      </c>
      <c r="K149" s="208" t="s">
        <v>426</v>
      </c>
      <c r="L149" s="216" t="s">
        <v>37</v>
      </c>
      <c r="M149" s="209">
        <f>+N149+Q149+R149</f>
        <v>580854546</v>
      </c>
      <c r="N149" s="44">
        <f>+O149+P149</f>
        <v>6158421</v>
      </c>
      <c r="O149" s="44"/>
      <c r="P149" s="209">
        <v>6158421</v>
      </c>
      <c r="Q149" s="44">
        <v>387980508</v>
      </c>
      <c r="R149" s="44">
        <v>186715617</v>
      </c>
      <c r="S149" s="42" t="s">
        <v>291</v>
      </c>
      <c r="T149" s="42" t="s">
        <v>180</v>
      </c>
      <c r="U149" s="42" t="s">
        <v>52</v>
      </c>
      <c r="V149" s="42" t="s">
        <v>405</v>
      </c>
      <c r="W149" s="42" t="s">
        <v>176</v>
      </c>
      <c r="X149" s="42" t="s">
        <v>43</v>
      </c>
      <c r="Y149" s="42" t="s">
        <v>44</v>
      </c>
      <c r="Z149" s="46" t="s">
        <v>177</v>
      </c>
      <c r="AA149" s="215" t="s">
        <v>46</v>
      </c>
    </row>
    <row r="150" spans="1:27" ht="111" customHeight="1" x14ac:dyDescent="0.25">
      <c r="A150" s="217" t="s">
        <v>401</v>
      </c>
      <c r="B150" s="218" t="s">
        <v>424</v>
      </c>
      <c r="C150" s="219" t="s">
        <v>434</v>
      </c>
      <c r="D150" s="220"/>
      <c r="E150" s="221"/>
      <c r="F150" s="221"/>
      <c r="G150" s="221"/>
      <c r="H150" s="222"/>
      <c r="I150" s="223"/>
      <c r="J150" s="224"/>
      <c r="K150" s="224" t="s">
        <v>426</v>
      </c>
      <c r="L150" s="225" t="s">
        <v>435</v>
      </c>
      <c r="M150" s="64">
        <f t="shared" si="3"/>
        <v>74871827</v>
      </c>
      <c r="N150" s="64">
        <f t="shared" si="4"/>
        <v>74871827</v>
      </c>
      <c r="O150" s="226"/>
      <c r="P150" s="226">
        <v>74871827</v>
      </c>
      <c r="Q150" s="226"/>
      <c r="R150" s="227"/>
      <c r="S150" s="227"/>
      <c r="T150" s="33"/>
      <c r="U150" s="33" t="s">
        <v>75</v>
      </c>
      <c r="V150" s="33" t="s">
        <v>405</v>
      </c>
      <c r="W150" s="33" t="s">
        <v>176</v>
      </c>
      <c r="X150" s="33" t="s">
        <v>43</v>
      </c>
      <c r="Y150" s="33" t="s">
        <v>44</v>
      </c>
      <c r="Z150" s="48" t="s">
        <v>177</v>
      </c>
      <c r="AA150" s="228" t="s">
        <v>46</v>
      </c>
    </row>
    <row r="151" spans="1:27" ht="111" customHeight="1" x14ac:dyDescent="0.25">
      <c r="A151" s="17" t="s">
        <v>401</v>
      </c>
      <c r="B151" s="203" t="s">
        <v>436</v>
      </c>
      <c r="C151" s="229" t="s">
        <v>437</v>
      </c>
      <c r="D151" s="230"/>
      <c r="E151" s="20">
        <v>43868</v>
      </c>
      <c r="F151" s="79" t="s">
        <v>104</v>
      </c>
      <c r="G151" s="54" t="s">
        <v>438</v>
      </c>
      <c r="H151" s="30">
        <v>9</v>
      </c>
      <c r="I151" s="23" t="s">
        <v>34</v>
      </c>
      <c r="J151" s="231" t="s">
        <v>179</v>
      </c>
      <c r="K151" s="203" t="s">
        <v>426</v>
      </c>
      <c r="L151" s="232" t="s">
        <v>37</v>
      </c>
      <c r="M151" s="26">
        <f>+N151+Q151+R151</f>
        <v>239757064</v>
      </c>
      <c r="N151" s="26">
        <f t="shared" si="4"/>
        <v>239757064</v>
      </c>
      <c r="O151" s="26">
        <f>58627461+181129603</f>
        <v>239757064</v>
      </c>
      <c r="P151" s="26"/>
      <c r="Q151" s="26"/>
      <c r="R151" s="26"/>
      <c r="S151" s="29" t="s">
        <v>38</v>
      </c>
      <c r="T151" s="29" t="s">
        <v>39</v>
      </c>
      <c r="U151" s="29" t="s">
        <v>40</v>
      </c>
      <c r="V151" s="29" t="s">
        <v>405</v>
      </c>
      <c r="W151" s="29" t="s">
        <v>176</v>
      </c>
      <c r="X151" s="29" t="s">
        <v>43</v>
      </c>
      <c r="Y151" s="29" t="s">
        <v>44</v>
      </c>
      <c r="Z151" s="30" t="s">
        <v>182</v>
      </c>
      <c r="AA151" s="233" t="s">
        <v>46</v>
      </c>
    </row>
    <row r="152" spans="1:27" ht="111" customHeight="1" x14ac:dyDescent="0.25">
      <c r="A152" s="55" t="s">
        <v>401</v>
      </c>
      <c r="B152" s="204" t="s">
        <v>439</v>
      </c>
      <c r="C152" s="234" t="s">
        <v>440</v>
      </c>
      <c r="D152" s="235"/>
      <c r="E152" s="58"/>
      <c r="F152" s="131"/>
      <c r="G152" s="59"/>
      <c r="H152" s="48"/>
      <c r="I152" s="61"/>
      <c r="J152" s="236"/>
      <c r="K152" s="204" t="s">
        <v>426</v>
      </c>
      <c r="L152" s="237" t="s">
        <v>117</v>
      </c>
      <c r="M152" s="64">
        <f>+N152+Q152+R152</f>
        <v>50866454</v>
      </c>
      <c r="N152" s="64">
        <f t="shared" si="4"/>
        <v>50866454</v>
      </c>
      <c r="O152" s="64">
        <f>290623518-(58627461+181129603)</f>
        <v>50866454</v>
      </c>
      <c r="P152" s="64"/>
      <c r="Q152" s="64"/>
      <c r="R152" s="64"/>
      <c r="S152" s="33"/>
      <c r="T152" s="33"/>
      <c r="U152" s="33" t="s">
        <v>75</v>
      </c>
      <c r="V152" s="33" t="s">
        <v>405</v>
      </c>
      <c r="W152" s="33" t="s">
        <v>176</v>
      </c>
      <c r="X152" s="33" t="s">
        <v>43</v>
      </c>
      <c r="Y152" s="33"/>
      <c r="Z152" s="48"/>
      <c r="AA152" s="228"/>
    </row>
    <row r="153" spans="1:27" ht="42.75" customHeight="1" x14ac:dyDescent="0.25">
      <c r="A153" s="34" t="s">
        <v>401</v>
      </c>
      <c r="B153" s="208">
        <v>80131502</v>
      </c>
      <c r="C153" s="210" t="s">
        <v>441</v>
      </c>
      <c r="D153" s="234"/>
      <c r="E153" s="80">
        <v>44071</v>
      </c>
      <c r="F153" s="238" t="s">
        <v>50</v>
      </c>
      <c r="G153" s="239" t="s">
        <v>223</v>
      </c>
      <c r="H153" s="237">
        <v>12</v>
      </c>
      <c r="I153" s="202" t="s">
        <v>34</v>
      </c>
      <c r="J153" s="210" t="s">
        <v>35</v>
      </c>
      <c r="K153" s="236" t="s">
        <v>442</v>
      </c>
      <c r="L153" s="94" t="s">
        <v>443</v>
      </c>
      <c r="M153" s="44">
        <f t="shared" si="3"/>
        <v>6020537619</v>
      </c>
      <c r="N153" s="44">
        <f t="shared" si="4"/>
        <v>2238253740</v>
      </c>
      <c r="O153" s="44">
        <v>2238253740</v>
      </c>
      <c r="P153" s="44">
        <v>0</v>
      </c>
      <c r="Q153" s="44">
        <v>2350166430</v>
      </c>
      <c r="R153" s="44">
        <v>1432117449</v>
      </c>
      <c r="S153" s="42" t="s">
        <v>98</v>
      </c>
      <c r="T153" s="42" t="s">
        <v>180</v>
      </c>
      <c r="U153" s="42" t="s">
        <v>52</v>
      </c>
      <c r="V153" s="42" t="s">
        <v>405</v>
      </c>
      <c r="W153" s="42" t="s">
        <v>176</v>
      </c>
      <c r="X153" s="42" t="s">
        <v>43</v>
      </c>
      <c r="Y153" s="42" t="s">
        <v>44</v>
      </c>
      <c r="Z153" s="46" t="s">
        <v>177</v>
      </c>
      <c r="AA153" s="215" t="s">
        <v>46</v>
      </c>
    </row>
    <row r="154" spans="1:27" ht="57" customHeight="1" x14ac:dyDescent="0.25">
      <c r="A154" s="17" t="s">
        <v>401</v>
      </c>
      <c r="B154" s="18">
        <v>80131502</v>
      </c>
      <c r="C154" s="19" t="s">
        <v>444</v>
      </c>
      <c r="D154" s="49">
        <v>44165</v>
      </c>
      <c r="E154" s="20">
        <v>44071</v>
      </c>
      <c r="F154" s="21" t="s">
        <v>50</v>
      </c>
      <c r="G154" s="21" t="s">
        <v>223</v>
      </c>
      <c r="H154" s="53">
        <v>11.5</v>
      </c>
      <c r="I154" s="23" t="s">
        <v>34</v>
      </c>
      <c r="J154" s="24" t="s">
        <v>55</v>
      </c>
      <c r="K154" s="24" t="s">
        <v>442</v>
      </c>
      <c r="L154" s="89" t="s">
        <v>443</v>
      </c>
      <c r="M154" s="26">
        <f t="shared" si="3"/>
        <v>294434604</v>
      </c>
      <c r="N154" s="26">
        <f t="shared" si="4"/>
        <v>294434604</v>
      </c>
      <c r="O154" s="26">
        <v>294434604</v>
      </c>
      <c r="P154" s="26">
        <v>0</v>
      </c>
      <c r="Q154" s="26"/>
      <c r="R154" s="26"/>
      <c r="S154" s="29" t="s">
        <v>38</v>
      </c>
      <c r="T154" s="29" t="s">
        <v>39</v>
      </c>
      <c r="U154" s="29" t="s">
        <v>57</v>
      </c>
      <c r="V154" s="29" t="s">
        <v>405</v>
      </c>
      <c r="W154" s="29" t="s">
        <v>176</v>
      </c>
      <c r="X154" s="29" t="s">
        <v>43</v>
      </c>
      <c r="Y154" s="29" t="s">
        <v>44</v>
      </c>
      <c r="Z154" s="30" t="s">
        <v>177</v>
      </c>
      <c r="AA154" s="85" t="s">
        <v>46</v>
      </c>
    </row>
    <row r="155" spans="1:27" ht="57" customHeight="1" x14ac:dyDescent="0.25">
      <c r="A155" s="34" t="s">
        <v>401</v>
      </c>
      <c r="B155" s="208">
        <v>80131502</v>
      </c>
      <c r="C155" s="210" t="s">
        <v>445</v>
      </c>
      <c r="D155" s="234"/>
      <c r="E155" s="80">
        <v>44080</v>
      </c>
      <c r="F155" s="238" t="s">
        <v>71</v>
      </c>
      <c r="G155" s="239" t="s">
        <v>223</v>
      </c>
      <c r="H155" s="48">
        <v>20</v>
      </c>
      <c r="I155" s="204" t="s">
        <v>34</v>
      </c>
      <c r="J155" s="213" t="s">
        <v>35</v>
      </c>
      <c r="K155" s="236" t="s">
        <v>442</v>
      </c>
      <c r="L155" s="94" t="s">
        <v>443</v>
      </c>
      <c r="M155" s="44">
        <f t="shared" si="3"/>
        <v>552219586.22220993</v>
      </c>
      <c r="N155" s="44">
        <f t="shared" si="4"/>
        <v>26911286.222209997</v>
      </c>
      <c r="O155" s="44">
        <f>13687875.22221+13223411</f>
        <v>26911286.222209997</v>
      </c>
      <c r="P155" s="44"/>
      <c r="Q155" s="44">
        <f>313381927+14128423</f>
        <v>327510350</v>
      </c>
      <c r="R155" s="44">
        <v>197797950</v>
      </c>
      <c r="S155" s="42" t="s">
        <v>291</v>
      </c>
      <c r="T155" s="42" t="s">
        <v>180</v>
      </c>
      <c r="U155" s="42" t="s">
        <v>52</v>
      </c>
      <c r="V155" s="42" t="s">
        <v>405</v>
      </c>
      <c r="W155" s="42" t="s">
        <v>176</v>
      </c>
      <c r="X155" s="42" t="s">
        <v>43</v>
      </c>
      <c r="Y155" s="42" t="s">
        <v>44</v>
      </c>
      <c r="Z155" s="46" t="s">
        <v>177</v>
      </c>
      <c r="AA155" s="215" t="s">
        <v>46</v>
      </c>
    </row>
    <row r="156" spans="1:27" ht="71.25" customHeight="1" x14ac:dyDescent="0.25">
      <c r="A156" s="17" t="s">
        <v>401</v>
      </c>
      <c r="B156" s="18">
        <v>80131502</v>
      </c>
      <c r="C156" s="19" t="s">
        <v>446</v>
      </c>
      <c r="D156" s="49">
        <v>44180</v>
      </c>
      <c r="E156" s="20">
        <v>44071</v>
      </c>
      <c r="F156" s="21" t="s">
        <v>50</v>
      </c>
      <c r="G156" s="21" t="s">
        <v>223</v>
      </c>
      <c r="H156" s="53">
        <v>11.5</v>
      </c>
      <c r="I156" s="23" t="s">
        <v>34</v>
      </c>
      <c r="J156" s="24" t="s">
        <v>55</v>
      </c>
      <c r="K156" s="24" t="s">
        <v>447</v>
      </c>
      <c r="L156" s="89" t="s">
        <v>37</v>
      </c>
      <c r="M156" s="26">
        <f t="shared" si="3"/>
        <v>72622183</v>
      </c>
      <c r="N156" s="26">
        <f t="shared" si="4"/>
        <v>72622183</v>
      </c>
      <c r="O156" s="26">
        <v>0</v>
      </c>
      <c r="P156" s="26">
        <v>72622183</v>
      </c>
      <c r="Q156" s="26"/>
      <c r="R156" s="26"/>
      <c r="S156" s="29" t="s">
        <v>38</v>
      </c>
      <c r="T156" s="29" t="s">
        <v>39</v>
      </c>
      <c r="U156" s="29" t="s">
        <v>57</v>
      </c>
      <c r="V156" s="29" t="s">
        <v>405</v>
      </c>
      <c r="W156" s="29" t="s">
        <v>176</v>
      </c>
      <c r="X156" s="29" t="s">
        <v>43</v>
      </c>
      <c r="Y156" s="29" t="s">
        <v>44</v>
      </c>
      <c r="Z156" s="30" t="s">
        <v>177</v>
      </c>
      <c r="AA156" s="85" t="s">
        <v>46</v>
      </c>
    </row>
    <row r="157" spans="1:27" ht="84" x14ac:dyDescent="0.25">
      <c r="A157" s="34" t="s">
        <v>401</v>
      </c>
      <c r="B157" s="208">
        <v>80131502</v>
      </c>
      <c r="C157" s="210" t="s">
        <v>448</v>
      </c>
      <c r="D157" s="234"/>
      <c r="E157" s="80">
        <v>44071</v>
      </c>
      <c r="F157" s="238" t="s">
        <v>50</v>
      </c>
      <c r="G157" s="239" t="s">
        <v>223</v>
      </c>
      <c r="H157" s="240">
        <v>11.5</v>
      </c>
      <c r="I157" s="204" t="s">
        <v>34</v>
      </c>
      <c r="J157" s="210" t="s">
        <v>35</v>
      </c>
      <c r="K157" s="236" t="s">
        <v>449</v>
      </c>
      <c r="L157" s="94" t="s">
        <v>37</v>
      </c>
      <c r="M157" s="44">
        <f t="shared" si="3"/>
        <v>212369629</v>
      </c>
      <c r="N157" s="44">
        <f t="shared" si="4"/>
        <v>212369629</v>
      </c>
      <c r="O157" s="44">
        <v>0</v>
      </c>
      <c r="P157" s="44">
        <v>212369629</v>
      </c>
      <c r="Q157" s="44"/>
      <c r="R157" s="44"/>
      <c r="S157" s="42" t="s">
        <v>38</v>
      </c>
      <c r="T157" s="42" t="s">
        <v>39</v>
      </c>
      <c r="U157" s="42" t="s">
        <v>52</v>
      </c>
      <c r="V157" s="42" t="s">
        <v>405</v>
      </c>
      <c r="W157" s="42" t="s">
        <v>176</v>
      </c>
      <c r="X157" s="42" t="s">
        <v>43</v>
      </c>
      <c r="Y157" s="42" t="s">
        <v>44</v>
      </c>
      <c r="Z157" s="46" t="s">
        <v>177</v>
      </c>
      <c r="AA157" s="215" t="s">
        <v>46</v>
      </c>
    </row>
    <row r="158" spans="1:27" ht="84" x14ac:dyDescent="0.25">
      <c r="A158" s="34" t="s">
        <v>401</v>
      </c>
      <c r="B158" s="208">
        <v>80131502</v>
      </c>
      <c r="C158" s="241" t="s">
        <v>450</v>
      </c>
      <c r="D158" s="242"/>
      <c r="E158" s="80">
        <v>44141</v>
      </c>
      <c r="F158" s="238" t="s">
        <v>433</v>
      </c>
      <c r="G158" s="239" t="s">
        <v>433</v>
      </c>
      <c r="H158" s="48">
        <v>15</v>
      </c>
      <c r="I158" s="204" t="s">
        <v>28</v>
      </c>
      <c r="J158" s="213" t="s">
        <v>72</v>
      </c>
      <c r="K158" s="236" t="s">
        <v>449</v>
      </c>
      <c r="L158" s="94" t="s">
        <v>37</v>
      </c>
      <c r="M158" s="44">
        <f t="shared" si="3"/>
        <v>2500000</v>
      </c>
      <c r="N158" s="44">
        <f t="shared" si="4"/>
        <v>2500000</v>
      </c>
      <c r="O158" s="44">
        <v>0</v>
      </c>
      <c r="P158" s="44">
        <v>2500000</v>
      </c>
      <c r="Q158" s="44"/>
      <c r="R158" s="44"/>
      <c r="S158" s="42" t="s">
        <v>38</v>
      </c>
      <c r="T158" s="42" t="s">
        <v>39</v>
      </c>
      <c r="U158" s="42" t="s">
        <v>52</v>
      </c>
      <c r="V158" s="42" t="s">
        <v>405</v>
      </c>
      <c r="W158" s="42" t="s">
        <v>176</v>
      </c>
      <c r="X158" s="42" t="s">
        <v>43</v>
      </c>
      <c r="Y158" s="42" t="s">
        <v>44</v>
      </c>
      <c r="Z158" s="46" t="s">
        <v>177</v>
      </c>
      <c r="AA158" s="215" t="s">
        <v>46</v>
      </c>
    </row>
    <row r="159" spans="1:27" ht="57" customHeight="1" x14ac:dyDescent="0.25">
      <c r="A159" s="34" t="s">
        <v>401</v>
      </c>
      <c r="B159" s="214">
        <v>80131502</v>
      </c>
      <c r="C159" s="241" t="s">
        <v>451</v>
      </c>
      <c r="D159" s="242"/>
      <c r="E159" s="80">
        <v>44071</v>
      </c>
      <c r="F159" s="238" t="s">
        <v>50</v>
      </c>
      <c r="G159" s="239" t="s">
        <v>223</v>
      </c>
      <c r="H159" s="240">
        <v>11.5</v>
      </c>
      <c r="I159" s="243" t="s">
        <v>34</v>
      </c>
      <c r="J159" s="241" t="s">
        <v>35</v>
      </c>
      <c r="K159" s="244" t="s">
        <v>447</v>
      </c>
      <c r="L159" s="94" t="s">
        <v>37</v>
      </c>
      <c r="M159" s="44">
        <f t="shared" si="3"/>
        <v>49540063</v>
      </c>
      <c r="N159" s="44">
        <f t="shared" si="4"/>
        <v>49540063</v>
      </c>
      <c r="O159" s="44">
        <v>0</v>
      </c>
      <c r="P159" s="44">
        <v>49540063</v>
      </c>
      <c r="Q159" s="44"/>
      <c r="R159" s="44"/>
      <c r="S159" s="42" t="s">
        <v>38</v>
      </c>
      <c r="T159" s="42" t="s">
        <v>39</v>
      </c>
      <c r="U159" s="42" t="s">
        <v>52</v>
      </c>
      <c r="V159" s="42" t="s">
        <v>405</v>
      </c>
      <c r="W159" s="42" t="s">
        <v>176</v>
      </c>
      <c r="X159" s="42" t="s">
        <v>43</v>
      </c>
      <c r="Y159" s="42" t="s">
        <v>44</v>
      </c>
      <c r="Z159" s="46" t="s">
        <v>177</v>
      </c>
      <c r="AA159" s="215" t="s">
        <v>46</v>
      </c>
    </row>
    <row r="160" spans="1:27" ht="71.25" customHeight="1" x14ac:dyDescent="0.25">
      <c r="A160" s="34" t="s">
        <v>401</v>
      </c>
      <c r="B160" s="208">
        <v>80131502</v>
      </c>
      <c r="C160" s="210" t="s">
        <v>452</v>
      </c>
      <c r="D160" s="234"/>
      <c r="E160" s="80">
        <v>44071</v>
      </c>
      <c r="F160" s="238" t="s">
        <v>50</v>
      </c>
      <c r="G160" s="239" t="s">
        <v>223</v>
      </c>
      <c r="H160" s="240">
        <v>11.5</v>
      </c>
      <c r="I160" s="204" t="s">
        <v>34</v>
      </c>
      <c r="J160" s="210" t="s">
        <v>35</v>
      </c>
      <c r="K160" s="236" t="s">
        <v>447</v>
      </c>
      <c r="L160" s="94" t="s">
        <v>37</v>
      </c>
      <c r="M160" s="44">
        <f t="shared" si="3"/>
        <v>55200000</v>
      </c>
      <c r="N160" s="44">
        <f t="shared" si="4"/>
        <v>55200000</v>
      </c>
      <c r="O160" s="44"/>
      <c r="P160" s="44">
        <v>55200000</v>
      </c>
      <c r="Q160" s="44"/>
      <c r="R160" s="44"/>
      <c r="S160" s="42" t="s">
        <v>38</v>
      </c>
      <c r="T160" s="42" t="s">
        <v>39</v>
      </c>
      <c r="U160" s="42" t="s">
        <v>52</v>
      </c>
      <c r="V160" s="42" t="s">
        <v>405</v>
      </c>
      <c r="W160" s="42" t="s">
        <v>176</v>
      </c>
      <c r="X160" s="42" t="s">
        <v>43</v>
      </c>
      <c r="Y160" s="42" t="s">
        <v>44</v>
      </c>
      <c r="Z160" s="46" t="s">
        <v>177</v>
      </c>
      <c r="AA160" s="215" t="s">
        <v>46</v>
      </c>
    </row>
    <row r="161" spans="1:27" ht="57" customHeight="1" x14ac:dyDescent="0.25">
      <c r="A161" s="34" t="s">
        <v>401</v>
      </c>
      <c r="B161" s="208">
        <v>80131502</v>
      </c>
      <c r="C161" s="210" t="s">
        <v>453</v>
      </c>
      <c r="D161" s="234"/>
      <c r="E161" s="80">
        <v>44071</v>
      </c>
      <c r="F161" s="238" t="s">
        <v>50</v>
      </c>
      <c r="G161" s="239" t="s">
        <v>223</v>
      </c>
      <c r="H161" s="240">
        <v>11.5</v>
      </c>
      <c r="I161" s="204" t="s">
        <v>34</v>
      </c>
      <c r="J161" s="210" t="s">
        <v>35</v>
      </c>
      <c r="K161" s="236" t="s">
        <v>447</v>
      </c>
      <c r="L161" s="94" t="s">
        <v>37</v>
      </c>
      <c r="M161" s="44">
        <f t="shared" si="3"/>
        <v>61889285</v>
      </c>
      <c r="N161" s="44">
        <f t="shared" si="4"/>
        <v>61889285</v>
      </c>
      <c r="O161" s="44">
        <v>0</v>
      </c>
      <c r="P161" s="44">
        <v>61889285</v>
      </c>
      <c r="Q161" s="44"/>
      <c r="R161" s="44"/>
      <c r="S161" s="42" t="s">
        <v>38</v>
      </c>
      <c r="T161" s="42" t="s">
        <v>39</v>
      </c>
      <c r="U161" s="42" t="s">
        <v>52</v>
      </c>
      <c r="V161" s="42" t="s">
        <v>405</v>
      </c>
      <c r="W161" s="42" t="s">
        <v>176</v>
      </c>
      <c r="X161" s="42" t="s">
        <v>43</v>
      </c>
      <c r="Y161" s="42" t="s">
        <v>44</v>
      </c>
      <c r="Z161" s="46" t="s">
        <v>177</v>
      </c>
      <c r="AA161" s="215" t="s">
        <v>46</v>
      </c>
    </row>
    <row r="162" spans="1:27" ht="57" customHeight="1" x14ac:dyDescent="0.25">
      <c r="A162" s="34" t="s">
        <v>401</v>
      </c>
      <c r="B162" s="208">
        <v>80131502</v>
      </c>
      <c r="C162" s="241" t="s">
        <v>454</v>
      </c>
      <c r="D162" s="242"/>
      <c r="E162" s="80">
        <v>44071</v>
      </c>
      <c r="F162" s="238" t="s">
        <v>50</v>
      </c>
      <c r="G162" s="239" t="s">
        <v>223</v>
      </c>
      <c r="H162" s="240">
        <v>11.5</v>
      </c>
      <c r="I162" s="204" t="s">
        <v>34</v>
      </c>
      <c r="J162" s="210" t="s">
        <v>35</v>
      </c>
      <c r="K162" s="236" t="s">
        <v>447</v>
      </c>
      <c r="L162" s="94" t="s">
        <v>37</v>
      </c>
      <c r="M162" s="44">
        <f t="shared" si="3"/>
        <v>101877600</v>
      </c>
      <c r="N162" s="44">
        <f t="shared" si="4"/>
        <v>101877600</v>
      </c>
      <c r="O162" s="44">
        <v>0</v>
      </c>
      <c r="P162" s="44">
        <v>101877600</v>
      </c>
      <c r="Q162" s="44"/>
      <c r="R162" s="44"/>
      <c r="S162" s="42" t="s">
        <v>38</v>
      </c>
      <c r="T162" s="42" t="s">
        <v>39</v>
      </c>
      <c r="U162" s="42" t="s">
        <v>52</v>
      </c>
      <c r="V162" s="42" t="s">
        <v>405</v>
      </c>
      <c r="W162" s="42" t="s">
        <v>176</v>
      </c>
      <c r="X162" s="42" t="s">
        <v>43</v>
      </c>
      <c r="Y162" s="42" t="s">
        <v>44</v>
      </c>
      <c r="Z162" s="46" t="s">
        <v>177</v>
      </c>
      <c r="AA162" s="215" t="s">
        <v>46</v>
      </c>
    </row>
    <row r="163" spans="1:27" ht="42.75" customHeight="1" x14ac:dyDescent="0.25">
      <c r="A163" s="17" t="s">
        <v>401</v>
      </c>
      <c r="B163" s="203">
        <v>80131502</v>
      </c>
      <c r="C163" s="245" t="s">
        <v>455</v>
      </c>
      <c r="D163" s="245"/>
      <c r="E163" s="20">
        <v>44071</v>
      </c>
      <c r="F163" s="246" t="s">
        <v>50</v>
      </c>
      <c r="G163" s="246" t="s">
        <v>223</v>
      </c>
      <c r="H163" s="247">
        <v>11</v>
      </c>
      <c r="I163" s="203" t="s">
        <v>34</v>
      </c>
      <c r="J163" s="229" t="s">
        <v>35</v>
      </c>
      <c r="K163" s="231" t="s">
        <v>447</v>
      </c>
      <c r="L163" s="89" t="s">
        <v>37</v>
      </c>
      <c r="M163" s="26">
        <f t="shared" si="3"/>
        <v>38133334</v>
      </c>
      <c r="N163" s="26">
        <f t="shared" si="4"/>
        <v>38133334</v>
      </c>
      <c r="O163" s="26">
        <v>0</v>
      </c>
      <c r="P163" s="26">
        <f>33000000+7000000- 1866666</f>
        <v>38133334</v>
      </c>
      <c r="Q163" s="26"/>
      <c r="R163" s="26"/>
      <c r="S163" s="29" t="s">
        <v>38</v>
      </c>
      <c r="T163" s="29" t="s">
        <v>39</v>
      </c>
      <c r="U163" s="29" t="s">
        <v>40</v>
      </c>
      <c r="V163" s="29" t="s">
        <v>405</v>
      </c>
      <c r="W163" s="29" t="s">
        <v>176</v>
      </c>
      <c r="X163" s="29" t="s">
        <v>43</v>
      </c>
      <c r="Y163" s="29" t="s">
        <v>44</v>
      </c>
      <c r="Z163" s="30" t="s">
        <v>177</v>
      </c>
      <c r="AA163" s="233" t="s">
        <v>46</v>
      </c>
    </row>
    <row r="164" spans="1:27" ht="42.75" customHeight="1" x14ac:dyDescent="0.25">
      <c r="A164" s="55" t="s">
        <v>401</v>
      </c>
      <c r="B164" s="204">
        <v>80131503</v>
      </c>
      <c r="C164" s="242" t="s">
        <v>456</v>
      </c>
      <c r="D164" s="242"/>
      <c r="E164" s="58">
        <v>44072</v>
      </c>
      <c r="F164" s="238" t="s">
        <v>50</v>
      </c>
      <c r="G164" s="238" t="s">
        <v>223</v>
      </c>
      <c r="H164" s="240">
        <v>12</v>
      </c>
      <c r="I164" s="204" t="s">
        <v>34</v>
      </c>
      <c r="J164" s="234" t="s">
        <v>35</v>
      </c>
      <c r="K164" s="236" t="s">
        <v>447</v>
      </c>
      <c r="L164" s="94" t="s">
        <v>117</v>
      </c>
      <c r="M164" s="64">
        <f>+N164+Q164+R164</f>
        <v>1866667</v>
      </c>
      <c r="N164" s="64">
        <f t="shared" si="4"/>
        <v>1866667</v>
      </c>
      <c r="O164" s="64">
        <v>1</v>
      </c>
      <c r="P164" s="64">
        <f>33000000+7000000-38133334</f>
        <v>1866666</v>
      </c>
      <c r="Q164" s="64"/>
      <c r="R164" s="64"/>
      <c r="S164" s="33" t="s">
        <v>38</v>
      </c>
      <c r="T164" s="33" t="s">
        <v>39</v>
      </c>
      <c r="U164" s="33" t="s">
        <v>75</v>
      </c>
      <c r="V164" s="33" t="s">
        <v>405</v>
      </c>
      <c r="W164" s="33" t="s">
        <v>176</v>
      </c>
      <c r="X164" s="33" t="s">
        <v>43</v>
      </c>
      <c r="Y164" s="33" t="s">
        <v>44</v>
      </c>
      <c r="Z164" s="48" t="s">
        <v>182</v>
      </c>
      <c r="AA164" s="228" t="s">
        <v>46</v>
      </c>
    </row>
    <row r="165" spans="1:27" ht="57" customHeight="1" x14ac:dyDescent="0.25">
      <c r="A165" s="34" t="s">
        <v>401</v>
      </c>
      <c r="B165" s="208">
        <v>80131502</v>
      </c>
      <c r="C165" s="210" t="s">
        <v>457</v>
      </c>
      <c r="D165" s="234"/>
      <c r="E165" s="80">
        <v>44071</v>
      </c>
      <c r="F165" s="238" t="s">
        <v>50</v>
      </c>
      <c r="G165" s="239" t="s">
        <v>223</v>
      </c>
      <c r="H165" s="240">
        <v>11.5</v>
      </c>
      <c r="I165" s="204" t="s">
        <v>34</v>
      </c>
      <c r="J165" s="210" t="s">
        <v>35</v>
      </c>
      <c r="K165" s="236" t="s">
        <v>447</v>
      </c>
      <c r="L165" s="94" t="s">
        <v>37</v>
      </c>
      <c r="M165" s="44">
        <f t="shared" si="3"/>
        <v>51320044</v>
      </c>
      <c r="N165" s="44">
        <f t="shared" si="4"/>
        <v>51320044</v>
      </c>
      <c r="O165" s="248">
        <v>51320044</v>
      </c>
      <c r="P165" s="44">
        <v>0</v>
      </c>
      <c r="Q165" s="44"/>
      <c r="R165" s="44"/>
      <c r="S165" s="42" t="s">
        <v>38</v>
      </c>
      <c r="T165" s="42" t="s">
        <v>39</v>
      </c>
      <c r="U165" s="42" t="s">
        <v>52</v>
      </c>
      <c r="V165" s="42" t="s">
        <v>405</v>
      </c>
      <c r="W165" s="42" t="s">
        <v>176</v>
      </c>
      <c r="X165" s="42" t="s">
        <v>43</v>
      </c>
      <c r="Y165" s="42" t="s">
        <v>44</v>
      </c>
      <c r="Z165" s="46" t="s">
        <v>177</v>
      </c>
      <c r="AA165" s="215" t="s">
        <v>46</v>
      </c>
    </row>
    <row r="166" spans="1:27" ht="57" customHeight="1" x14ac:dyDescent="0.25">
      <c r="A166" s="34" t="s">
        <v>401</v>
      </c>
      <c r="B166" s="208">
        <v>80131502</v>
      </c>
      <c r="C166" s="210" t="s">
        <v>458</v>
      </c>
      <c r="D166" s="234"/>
      <c r="E166" s="80">
        <v>44071</v>
      </c>
      <c r="F166" s="238" t="s">
        <v>50</v>
      </c>
      <c r="G166" s="239" t="s">
        <v>223</v>
      </c>
      <c r="H166" s="240">
        <v>11.5</v>
      </c>
      <c r="I166" s="204" t="s">
        <v>34</v>
      </c>
      <c r="J166" s="210" t="s">
        <v>35</v>
      </c>
      <c r="K166" s="236" t="s">
        <v>447</v>
      </c>
      <c r="L166" s="94" t="s">
        <v>37</v>
      </c>
      <c r="M166" s="44">
        <f t="shared" si="3"/>
        <v>83159117</v>
      </c>
      <c r="N166" s="44">
        <f t="shared" si="4"/>
        <v>83159117</v>
      </c>
      <c r="O166" s="44">
        <v>83159117</v>
      </c>
      <c r="P166" s="44">
        <v>0</v>
      </c>
      <c r="Q166" s="44"/>
      <c r="R166" s="44"/>
      <c r="S166" s="42" t="s">
        <v>38</v>
      </c>
      <c r="T166" s="42" t="s">
        <v>39</v>
      </c>
      <c r="U166" s="42" t="s">
        <v>52</v>
      </c>
      <c r="V166" s="42" t="s">
        <v>405</v>
      </c>
      <c r="W166" s="42" t="s">
        <v>176</v>
      </c>
      <c r="X166" s="42" t="s">
        <v>43</v>
      </c>
      <c r="Y166" s="42" t="s">
        <v>44</v>
      </c>
      <c r="Z166" s="46" t="s">
        <v>177</v>
      </c>
      <c r="AA166" s="215" t="s">
        <v>46</v>
      </c>
    </row>
    <row r="167" spans="1:27" ht="57" customHeight="1" x14ac:dyDescent="0.25">
      <c r="A167" s="34" t="s">
        <v>401</v>
      </c>
      <c r="B167" s="208">
        <v>80131502</v>
      </c>
      <c r="C167" s="210" t="s">
        <v>459</v>
      </c>
      <c r="D167" s="234"/>
      <c r="E167" s="80">
        <v>44071</v>
      </c>
      <c r="F167" s="238" t="s">
        <v>50</v>
      </c>
      <c r="G167" s="239" t="s">
        <v>223</v>
      </c>
      <c r="H167" s="240">
        <v>11.5</v>
      </c>
      <c r="I167" s="204" t="s">
        <v>34</v>
      </c>
      <c r="J167" s="210" t="s">
        <v>35</v>
      </c>
      <c r="K167" s="236" t="s">
        <v>447</v>
      </c>
      <c r="L167" s="94" t="s">
        <v>37</v>
      </c>
      <c r="M167" s="44">
        <f t="shared" si="3"/>
        <v>117250000</v>
      </c>
      <c r="N167" s="44">
        <f t="shared" si="4"/>
        <v>117250000</v>
      </c>
      <c r="O167" s="44">
        <v>117250000</v>
      </c>
      <c r="P167" s="44">
        <v>0</v>
      </c>
      <c r="Q167" s="44"/>
      <c r="R167" s="44"/>
      <c r="S167" s="42" t="s">
        <v>38</v>
      </c>
      <c r="T167" s="42" t="s">
        <v>39</v>
      </c>
      <c r="U167" s="42" t="s">
        <v>52</v>
      </c>
      <c r="V167" s="42" t="s">
        <v>405</v>
      </c>
      <c r="W167" s="42" t="s">
        <v>176</v>
      </c>
      <c r="X167" s="42" t="s">
        <v>43</v>
      </c>
      <c r="Y167" s="42" t="s">
        <v>44</v>
      </c>
      <c r="Z167" s="46" t="s">
        <v>177</v>
      </c>
      <c r="AA167" s="215" t="s">
        <v>46</v>
      </c>
    </row>
    <row r="168" spans="1:27" ht="57" customHeight="1" x14ac:dyDescent="0.25">
      <c r="A168" s="34" t="s">
        <v>401</v>
      </c>
      <c r="B168" s="208">
        <v>80131502</v>
      </c>
      <c r="C168" s="210" t="s">
        <v>460</v>
      </c>
      <c r="D168" s="234"/>
      <c r="E168" s="80">
        <v>44071</v>
      </c>
      <c r="F168" s="238" t="s">
        <v>50</v>
      </c>
      <c r="G168" s="239" t="s">
        <v>223</v>
      </c>
      <c r="H168" s="240">
        <v>11.5</v>
      </c>
      <c r="I168" s="204" t="s">
        <v>34</v>
      </c>
      <c r="J168" s="210" t="s">
        <v>35</v>
      </c>
      <c r="K168" s="236" t="s">
        <v>447</v>
      </c>
      <c r="L168" s="94" t="s">
        <v>37</v>
      </c>
      <c r="M168" s="44">
        <f t="shared" si="3"/>
        <v>107275625</v>
      </c>
      <c r="N168" s="44">
        <f t="shared" si="4"/>
        <v>107275625</v>
      </c>
      <c r="O168" s="44">
        <v>107275625</v>
      </c>
      <c r="P168" s="44">
        <v>0</v>
      </c>
      <c r="Q168" s="44"/>
      <c r="R168" s="44"/>
      <c r="S168" s="42" t="s">
        <v>38</v>
      </c>
      <c r="T168" s="42" t="s">
        <v>39</v>
      </c>
      <c r="U168" s="42" t="s">
        <v>52</v>
      </c>
      <c r="V168" s="42" t="s">
        <v>405</v>
      </c>
      <c r="W168" s="42" t="s">
        <v>176</v>
      </c>
      <c r="X168" s="42" t="s">
        <v>43</v>
      </c>
      <c r="Y168" s="42" t="s">
        <v>44</v>
      </c>
      <c r="Z168" s="46" t="s">
        <v>177</v>
      </c>
      <c r="AA168" s="215" t="s">
        <v>46</v>
      </c>
    </row>
    <row r="169" spans="1:27" ht="57" customHeight="1" x14ac:dyDescent="0.25">
      <c r="A169" s="34" t="s">
        <v>401</v>
      </c>
      <c r="B169" s="208">
        <v>80131502</v>
      </c>
      <c r="C169" s="210" t="s">
        <v>461</v>
      </c>
      <c r="D169" s="234"/>
      <c r="E169" s="80">
        <v>44071</v>
      </c>
      <c r="F169" s="238" t="s">
        <v>50</v>
      </c>
      <c r="G169" s="239" t="s">
        <v>223</v>
      </c>
      <c r="H169" s="240">
        <v>11.5</v>
      </c>
      <c r="I169" s="204" t="s">
        <v>34</v>
      </c>
      <c r="J169" s="210" t="s">
        <v>35</v>
      </c>
      <c r="K169" s="236" t="s">
        <v>447</v>
      </c>
      <c r="L169" s="94" t="s">
        <v>37</v>
      </c>
      <c r="M169" s="44">
        <f t="shared" si="3"/>
        <v>117934740</v>
      </c>
      <c r="N169" s="44">
        <f t="shared" si="4"/>
        <v>117934740</v>
      </c>
      <c r="O169" s="248">
        <v>117934740</v>
      </c>
      <c r="P169" s="44">
        <v>0</v>
      </c>
      <c r="Q169" s="44"/>
      <c r="R169" s="44"/>
      <c r="S169" s="42" t="s">
        <v>38</v>
      </c>
      <c r="T169" s="42" t="s">
        <v>39</v>
      </c>
      <c r="U169" s="42" t="s">
        <v>52</v>
      </c>
      <c r="V169" s="42" t="s">
        <v>405</v>
      </c>
      <c r="W169" s="42" t="s">
        <v>176</v>
      </c>
      <c r="X169" s="42" t="s">
        <v>43</v>
      </c>
      <c r="Y169" s="42" t="s">
        <v>44</v>
      </c>
      <c r="Z169" s="46" t="s">
        <v>177</v>
      </c>
      <c r="AA169" s="215" t="s">
        <v>46</v>
      </c>
    </row>
    <row r="170" spans="1:27" ht="57" customHeight="1" x14ac:dyDescent="0.25">
      <c r="A170" s="34" t="s">
        <v>401</v>
      </c>
      <c r="B170" s="208">
        <v>80131502</v>
      </c>
      <c r="C170" s="210" t="s">
        <v>462</v>
      </c>
      <c r="D170" s="234"/>
      <c r="E170" s="80">
        <v>44071</v>
      </c>
      <c r="F170" s="238" t="s">
        <v>50</v>
      </c>
      <c r="G170" s="239" t="s">
        <v>223</v>
      </c>
      <c r="H170" s="240">
        <v>11.5</v>
      </c>
      <c r="I170" s="204" t="s">
        <v>34</v>
      </c>
      <c r="J170" s="210" t="s">
        <v>35</v>
      </c>
      <c r="K170" s="236" t="s">
        <v>447</v>
      </c>
      <c r="L170" s="94" t="s">
        <v>37</v>
      </c>
      <c r="M170" s="44">
        <f t="shared" si="3"/>
        <v>74321844</v>
      </c>
      <c r="N170" s="44">
        <f t="shared" si="4"/>
        <v>74321844</v>
      </c>
      <c r="O170" s="44">
        <v>74321844</v>
      </c>
      <c r="P170" s="44">
        <v>0</v>
      </c>
      <c r="Q170" s="44"/>
      <c r="R170" s="44"/>
      <c r="S170" s="42" t="s">
        <v>38</v>
      </c>
      <c r="T170" s="42" t="s">
        <v>39</v>
      </c>
      <c r="U170" s="42" t="s">
        <v>52</v>
      </c>
      <c r="V170" s="42" t="s">
        <v>405</v>
      </c>
      <c r="W170" s="42" t="s">
        <v>176</v>
      </c>
      <c r="X170" s="42" t="s">
        <v>43</v>
      </c>
      <c r="Y170" s="42" t="s">
        <v>44</v>
      </c>
      <c r="Z170" s="46" t="s">
        <v>177</v>
      </c>
      <c r="AA170" s="215" t="s">
        <v>46</v>
      </c>
    </row>
    <row r="171" spans="1:27" ht="57" customHeight="1" x14ac:dyDescent="0.25">
      <c r="A171" s="34" t="s">
        <v>401</v>
      </c>
      <c r="B171" s="208">
        <v>80131502</v>
      </c>
      <c r="C171" s="210" t="s">
        <v>463</v>
      </c>
      <c r="D171" s="234"/>
      <c r="E171" s="80">
        <v>44071</v>
      </c>
      <c r="F171" s="238" t="s">
        <v>50</v>
      </c>
      <c r="G171" s="239" t="s">
        <v>223</v>
      </c>
      <c r="H171" s="240">
        <v>11.5</v>
      </c>
      <c r="I171" s="204" t="s">
        <v>34</v>
      </c>
      <c r="J171" s="210" t="s">
        <v>35</v>
      </c>
      <c r="K171" s="236" t="s">
        <v>447</v>
      </c>
      <c r="L171" s="94" t="s">
        <v>37</v>
      </c>
      <c r="M171" s="44">
        <f t="shared" si="3"/>
        <v>60871791</v>
      </c>
      <c r="N171" s="44">
        <f t="shared" si="4"/>
        <v>60871791</v>
      </c>
      <c r="O171" s="44">
        <v>60871791</v>
      </c>
      <c r="P171" s="44">
        <v>0</v>
      </c>
      <c r="Q171" s="44"/>
      <c r="R171" s="44"/>
      <c r="S171" s="42" t="s">
        <v>38</v>
      </c>
      <c r="T171" s="42" t="s">
        <v>39</v>
      </c>
      <c r="U171" s="42" t="s">
        <v>52</v>
      </c>
      <c r="V171" s="42" t="s">
        <v>405</v>
      </c>
      <c r="W171" s="42" t="s">
        <v>176</v>
      </c>
      <c r="X171" s="42" t="s">
        <v>43</v>
      </c>
      <c r="Y171" s="42" t="s">
        <v>44</v>
      </c>
      <c r="Z171" s="46" t="s">
        <v>177</v>
      </c>
      <c r="AA171" s="215" t="s">
        <v>46</v>
      </c>
    </row>
    <row r="172" spans="1:27" ht="57" customHeight="1" x14ac:dyDescent="0.25">
      <c r="A172" s="34" t="s">
        <v>401</v>
      </c>
      <c r="B172" s="208">
        <v>80131502</v>
      </c>
      <c r="C172" s="210" t="s">
        <v>464</v>
      </c>
      <c r="D172" s="234"/>
      <c r="E172" s="80">
        <v>44071</v>
      </c>
      <c r="F172" s="238" t="s">
        <v>50</v>
      </c>
      <c r="G172" s="239" t="s">
        <v>223</v>
      </c>
      <c r="H172" s="240">
        <v>11.5</v>
      </c>
      <c r="I172" s="204" t="s">
        <v>34</v>
      </c>
      <c r="J172" s="210" t="s">
        <v>35</v>
      </c>
      <c r="K172" s="236" t="s">
        <v>447</v>
      </c>
      <c r="L172" s="94" t="s">
        <v>37</v>
      </c>
      <c r="M172" s="44">
        <f t="shared" si="3"/>
        <v>52188900</v>
      </c>
      <c r="N172" s="44">
        <f t="shared" si="4"/>
        <v>52188900</v>
      </c>
      <c r="O172" s="44">
        <v>52188900</v>
      </c>
      <c r="P172" s="44">
        <v>0</v>
      </c>
      <c r="Q172" s="44"/>
      <c r="R172" s="44"/>
      <c r="S172" s="42" t="s">
        <v>38</v>
      </c>
      <c r="T172" s="42" t="s">
        <v>39</v>
      </c>
      <c r="U172" s="42" t="s">
        <v>52</v>
      </c>
      <c r="V172" s="42" t="s">
        <v>405</v>
      </c>
      <c r="W172" s="42" t="s">
        <v>176</v>
      </c>
      <c r="X172" s="42" t="s">
        <v>43</v>
      </c>
      <c r="Y172" s="42" t="s">
        <v>44</v>
      </c>
      <c r="Z172" s="46" t="s">
        <v>177</v>
      </c>
      <c r="AA172" s="215" t="s">
        <v>46</v>
      </c>
    </row>
    <row r="173" spans="1:27" ht="57" customHeight="1" x14ac:dyDescent="0.25">
      <c r="A173" s="34" t="s">
        <v>401</v>
      </c>
      <c r="B173" s="208">
        <v>80131502</v>
      </c>
      <c r="C173" s="210" t="s">
        <v>465</v>
      </c>
      <c r="D173" s="234"/>
      <c r="E173" s="80">
        <v>44071</v>
      </c>
      <c r="F173" s="238" t="s">
        <v>50</v>
      </c>
      <c r="G173" s="239" t="s">
        <v>223</v>
      </c>
      <c r="H173" s="240">
        <v>11.5</v>
      </c>
      <c r="I173" s="204" t="s">
        <v>34</v>
      </c>
      <c r="J173" s="210" t="s">
        <v>35</v>
      </c>
      <c r="K173" s="236" t="s">
        <v>447</v>
      </c>
      <c r="L173" s="94" t="s">
        <v>37</v>
      </c>
      <c r="M173" s="44">
        <f t="shared" si="3"/>
        <v>77660721</v>
      </c>
      <c r="N173" s="44">
        <f t="shared" si="4"/>
        <v>77660721</v>
      </c>
      <c r="O173" s="44">
        <v>77660721</v>
      </c>
      <c r="P173" s="44">
        <v>0</v>
      </c>
      <c r="Q173" s="44"/>
      <c r="R173" s="44"/>
      <c r="S173" s="42" t="s">
        <v>38</v>
      </c>
      <c r="T173" s="42" t="s">
        <v>39</v>
      </c>
      <c r="U173" s="42" t="s">
        <v>52</v>
      </c>
      <c r="V173" s="42" t="s">
        <v>405</v>
      </c>
      <c r="W173" s="42" t="s">
        <v>176</v>
      </c>
      <c r="X173" s="42" t="s">
        <v>43</v>
      </c>
      <c r="Y173" s="42" t="s">
        <v>44</v>
      </c>
      <c r="Z173" s="46" t="s">
        <v>177</v>
      </c>
      <c r="AA173" s="215" t="s">
        <v>46</v>
      </c>
    </row>
    <row r="174" spans="1:27" ht="42.75" customHeight="1" x14ac:dyDescent="0.25">
      <c r="A174" s="34" t="s">
        <v>401</v>
      </c>
      <c r="B174" s="208">
        <v>80131502</v>
      </c>
      <c r="C174" s="210" t="s">
        <v>466</v>
      </c>
      <c r="D174" s="234"/>
      <c r="E174" s="80">
        <v>44071</v>
      </c>
      <c r="F174" s="238" t="s">
        <v>50</v>
      </c>
      <c r="G174" s="239" t="s">
        <v>223</v>
      </c>
      <c r="H174" s="240">
        <v>11.5</v>
      </c>
      <c r="I174" s="204" t="s">
        <v>34</v>
      </c>
      <c r="J174" s="210" t="s">
        <v>35</v>
      </c>
      <c r="K174" s="236" t="s">
        <v>447</v>
      </c>
      <c r="L174" s="94" t="s">
        <v>37</v>
      </c>
      <c r="M174" s="44">
        <f t="shared" si="3"/>
        <v>46729818</v>
      </c>
      <c r="N174" s="44">
        <f t="shared" si="4"/>
        <v>46729818</v>
      </c>
      <c r="O174" s="248">
        <v>46729818</v>
      </c>
      <c r="P174" s="44">
        <v>0</v>
      </c>
      <c r="Q174" s="44"/>
      <c r="R174" s="44"/>
      <c r="S174" s="42" t="s">
        <v>38</v>
      </c>
      <c r="T174" s="42" t="s">
        <v>39</v>
      </c>
      <c r="U174" s="42" t="s">
        <v>52</v>
      </c>
      <c r="V174" s="42" t="s">
        <v>405</v>
      </c>
      <c r="W174" s="42" t="s">
        <v>176</v>
      </c>
      <c r="X174" s="42" t="s">
        <v>43</v>
      </c>
      <c r="Y174" s="42" t="s">
        <v>44</v>
      </c>
      <c r="Z174" s="46" t="s">
        <v>177</v>
      </c>
      <c r="AA174" s="215" t="s">
        <v>46</v>
      </c>
    </row>
    <row r="175" spans="1:27" ht="42.75" customHeight="1" x14ac:dyDescent="0.25">
      <c r="A175" s="34" t="s">
        <v>401</v>
      </c>
      <c r="B175" s="208">
        <v>80131502</v>
      </c>
      <c r="C175" s="210" t="s">
        <v>467</v>
      </c>
      <c r="D175" s="234"/>
      <c r="E175" s="80">
        <v>44071</v>
      </c>
      <c r="F175" s="238" t="s">
        <v>50</v>
      </c>
      <c r="G175" s="239" t="s">
        <v>223</v>
      </c>
      <c r="H175" s="240">
        <v>11.5</v>
      </c>
      <c r="I175" s="204" t="s">
        <v>34</v>
      </c>
      <c r="J175" s="210" t="s">
        <v>35</v>
      </c>
      <c r="K175" s="236" t="s">
        <v>447</v>
      </c>
      <c r="L175" s="94" t="s">
        <v>37</v>
      </c>
      <c r="M175" s="44">
        <f t="shared" si="3"/>
        <v>75352335</v>
      </c>
      <c r="N175" s="44">
        <f t="shared" si="4"/>
        <v>75352335</v>
      </c>
      <c r="O175" s="248">
        <v>75352335</v>
      </c>
      <c r="P175" s="44">
        <v>0</v>
      </c>
      <c r="Q175" s="44"/>
      <c r="R175" s="44"/>
      <c r="S175" s="42" t="s">
        <v>38</v>
      </c>
      <c r="T175" s="42" t="s">
        <v>39</v>
      </c>
      <c r="U175" s="42" t="s">
        <v>52</v>
      </c>
      <c r="V175" s="42" t="s">
        <v>405</v>
      </c>
      <c r="W175" s="42" t="s">
        <v>176</v>
      </c>
      <c r="X175" s="42" t="s">
        <v>43</v>
      </c>
      <c r="Y175" s="42" t="s">
        <v>44</v>
      </c>
      <c r="Z175" s="46" t="s">
        <v>177</v>
      </c>
      <c r="AA175" s="215" t="s">
        <v>46</v>
      </c>
    </row>
    <row r="176" spans="1:27" ht="57" customHeight="1" x14ac:dyDescent="0.25">
      <c r="A176" s="34" t="s">
        <v>401</v>
      </c>
      <c r="B176" s="208">
        <v>80131502</v>
      </c>
      <c r="C176" s="210" t="s">
        <v>468</v>
      </c>
      <c r="D176" s="234"/>
      <c r="E176" s="80">
        <v>44071</v>
      </c>
      <c r="F176" s="238" t="s">
        <v>50</v>
      </c>
      <c r="G176" s="239" t="s">
        <v>223</v>
      </c>
      <c r="H176" s="240">
        <v>11.5</v>
      </c>
      <c r="I176" s="204" t="s">
        <v>34</v>
      </c>
      <c r="J176" s="210" t="s">
        <v>35</v>
      </c>
      <c r="K176" s="236" t="s">
        <v>447</v>
      </c>
      <c r="L176" s="94" t="s">
        <v>37</v>
      </c>
      <c r="M176" s="44">
        <f t="shared" si="3"/>
        <v>55320000</v>
      </c>
      <c r="N176" s="44">
        <f t="shared" si="4"/>
        <v>55320000</v>
      </c>
      <c r="O176" s="44">
        <v>55320000</v>
      </c>
      <c r="P176" s="44"/>
      <c r="Q176" s="44"/>
      <c r="R176" s="44"/>
      <c r="S176" s="42" t="s">
        <v>38</v>
      </c>
      <c r="T176" s="42" t="s">
        <v>39</v>
      </c>
      <c r="U176" s="42" t="s">
        <v>52</v>
      </c>
      <c r="V176" s="42" t="s">
        <v>405</v>
      </c>
      <c r="W176" s="42" t="s">
        <v>176</v>
      </c>
      <c r="X176" s="42" t="s">
        <v>43</v>
      </c>
      <c r="Y176" s="42" t="s">
        <v>44</v>
      </c>
      <c r="Z176" s="46" t="s">
        <v>177</v>
      </c>
      <c r="AA176" s="215" t="s">
        <v>46</v>
      </c>
    </row>
    <row r="177" spans="1:27" ht="57" customHeight="1" x14ac:dyDescent="0.25">
      <c r="A177" s="34" t="s">
        <v>401</v>
      </c>
      <c r="B177" s="208">
        <v>80131502</v>
      </c>
      <c r="C177" s="210" t="s">
        <v>469</v>
      </c>
      <c r="D177" s="234"/>
      <c r="E177" s="80">
        <v>44071</v>
      </c>
      <c r="F177" s="238"/>
      <c r="G177" s="239"/>
      <c r="H177" s="240">
        <v>11.5</v>
      </c>
      <c r="I177" s="204" t="s">
        <v>34</v>
      </c>
      <c r="J177" s="210" t="s">
        <v>35</v>
      </c>
      <c r="K177" s="236" t="s">
        <v>447</v>
      </c>
      <c r="L177" s="94" t="s">
        <v>37</v>
      </c>
      <c r="M177" s="44">
        <f t="shared" ref="M177:M234" si="5">+N177+Q177+R177</f>
        <v>72390332</v>
      </c>
      <c r="N177" s="44">
        <f t="shared" si="4"/>
        <v>72390332</v>
      </c>
      <c r="O177" s="44">
        <v>72390332</v>
      </c>
      <c r="P177" s="44">
        <v>0</v>
      </c>
      <c r="Q177" s="44"/>
      <c r="R177" s="44"/>
      <c r="S177" s="42" t="s">
        <v>38</v>
      </c>
      <c r="T177" s="42" t="s">
        <v>39</v>
      </c>
      <c r="U177" s="42" t="s">
        <v>52</v>
      </c>
      <c r="V177" s="42" t="s">
        <v>405</v>
      </c>
      <c r="W177" s="42" t="s">
        <v>176</v>
      </c>
      <c r="X177" s="42" t="s">
        <v>43</v>
      </c>
      <c r="Y177" s="42" t="s">
        <v>44</v>
      </c>
      <c r="Z177" s="46" t="s">
        <v>177</v>
      </c>
      <c r="AA177" s="215" t="s">
        <v>46</v>
      </c>
    </row>
    <row r="178" spans="1:27" ht="57" customHeight="1" x14ac:dyDescent="0.25">
      <c r="A178" s="34" t="s">
        <v>401</v>
      </c>
      <c r="B178" s="208">
        <v>80131502</v>
      </c>
      <c r="C178" s="210" t="s">
        <v>470</v>
      </c>
      <c r="D178" s="234"/>
      <c r="E178" s="80">
        <v>44071</v>
      </c>
      <c r="F178" s="238"/>
      <c r="G178" s="239"/>
      <c r="H178" s="240">
        <v>11.5</v>
      </c>
      <c r="I178" s="204" t="s">
        <v>34</v>
      </c>
      <c r="J178" s="210" t="s">
        <v>35</v>
      </c>
      <c r="K178" s="236" t="s">
        <v>447</v>
      </c>
      <c r="L178" s="94" t="s">
        <v>37</v>
      </c>
      <c r="M178" s="44">
        <f t="shared" si="5"/>
        <v>48001625</v>
      </c>
      <c r="N178" s="44">
        <f t="shared" si="4"/>
        <v>48001625</v>
      </c>
      <c r="O178" s="44">
        <v>48001625</v>
      </c>
      <c r="P178" s="44">
        <v>0</v>
      </c>
      <c r="Q178" s="44"/>
      <c r="R178" s="44"/>
      <c r="S178" s="42" t="s">
        <v>38</v>
      </c>
      <c r="T178" s="42" t="s">
        <v>39</v>
      </c>
      <c r="U178" s="42" t="s">
        <v>52</v>
      </c>
      <c r="V178" s="42" t="s">
        <v>405</v>
      </c>
      <c r="W178" s="42" t="s">
        <v>176</v>
      </c>
      <c r="X178" s="42" t="s">
        <v>43</v>
      </c>
      <c r="Y178" s="42" t="s">
        <v>44</v>
      </c>
      <c r="Z178" s="46" t="s">
        <v>177</v>
      </c>
      <c r="AA178" s="215" t="s">
        <v>46</v>
      </c>
    </row>
    <row r="179" spans="1:27" ht="57" customHeight="1" x14ac:dyDescent="0.25">
      <c r="A179" s="34" t="s">
        <v>401</v>
      </c>
      <c r="B179" s="208">
        <v>80131502</v>
      </c>
      <c r="C179" s="210" t="s">
        <v>471</v>
      </c>
      <c r="D179" s="234"/>
      <c r="E179" s="80">
        <v>44071</v>
      </c>
      <c r="F179" s="238"/>
      <c r="G179" s="239"/>
      <c r="H179" s="240">
        <v>11.5</v>
      </c>
      <c r="I179" s="204" t="s">
        <v>34</v>
      </c>
      <c r="J179" s="210" t="s">
        <v>35</v>
      </c>
      <c r="K179" s="236" t="s">
        <v>447</v>
      </c>
      <c r="L179" s="94" t="s">
        <v>37</v>
      </c>
      <c r="M179" s="44">
        <f t="shared" si="5"/>
        <v>93867658</v>
      </c>
      <c r="N179" s="44">
        <f t="shared" si="4"/>
        <v>93867658</v>
      </c>
      <c r="O179" s="44">
        <v>93867658</v>
      </c>
      <c r="P179" s="44">
        <v>0</v>
      </c>
      <c r="Q179" s="44"/>
      <c r="R179" s="44"/>
      <c r="S179" s="42" t="s">
        <v>38</v>
      </c>
      <c r="T179" s="42" t="s">
        <v>39</v>
      </c>
      <c r="U179" s="42" t="s">
        <v>52</v>
      </c>
      <c r="V179" s="42" t="s">
        <v>405</v>
      </c>
      <c r="W179" s="42" t="s">
        <v>176</v>
      </c>
      <c r="X179" s="42" t="s">
        <v>43</v>
      </c>
      <c r="Y179" s="42" t="s">
        <v>44</v>
      </c>
      <c r="Z179" s="46" t="s">
        <v>177</v>
      </c>
      <c r="AA179" s="215" t="s">
        <v>46</v>
      </c>
    </row>
    <row r="180" spans="1:27" ht="57" customHeight="1" x14ac:dyDescent="0.25">
      <c r="A180" s="34" t="s">
        <v>401</v>
      </c>
      <c r="B180" s="208">
        <v>80131502</v>
      </c>
      <c r="C180" s="210" t="s">
        <v>472</v>
      </c>
      <c r="D180" s="234"/>
      <c r="E180" s="80">
        <v>44071</v>
      </c>
      <c r="F180" s="238"/>
      <c r="G180" s="239"/>
      <c r="H180" s="240">
        <v>11.5</v>
      </c>
      <c r="I180" s="204" t="s">
        <v>34</v>
      </c>
      <c r="J180" s="210" t="s">
        <v>35</v>
      </c>
      <c r="K180" s="236" t="s">
        <v>447</v>
      </c>
      <c r="L180" s="94" t="s">
        <v>37</v>
      </c>
      <c r="M180" s="44">
        <f t="shared" si="5"/>
        <v>93743005</v>
      </c>
      <c r="N180" s="44">
        <f t="shared" si="4"/>
        <v>93743005</v>
      </c>
      <c r="O180" s="44">
        <v>93743005</v>
      </c>
      <c r="P180" s="44">
        <v>0</v>
      </c>
      <c r="Q180" s="44"/>
      <c r="R180" s="44"/>
      <c r="S180" s="42" t="s">
        <v>38</v>
      </c>
      <c r="T180" s="42" t="s">
        <v>39</v>
      </c>
      <c r="U180" s="42" t="s">
        <v>52</v>
      </c>
      <c r="V180" s="42" t="s">
        <v>405</v>
      </c>
      <c r="W180" s="42" t="s">
        <v>176</v>
      </c>
      <c r="X180" s="42" t="s">
        <v>43</v>
      </c>
      <c r="Y180" s="42" t="s">
        <v>44</v>
      </c>
      <c r="Z180" s="46" t="s">
        <v>177</v>
      </c>
      <c r="AA180" s="215" t="s">
        <v>46</v>
      </c>
    </row>
    <row r="181" spans="1:27" ht="57" customHeight="1" x14ac:dyDescent="0.25">
      <c r="A181" s="34" t="s">
        <v>401</v>
      </c>
      <c r="B181" s="208">
        <v>80131502</v>
      </c>
      <c r="C181" s="210" t="s">
        <v>473</v>
      </c>
      <c r="D181" s="234"/>
      <c r="E181" s="80">
        <v>44071</v>
      </c>
      <c r="F181" s="238"/>
      <c r="G181" s="239"/>
      <c r="H181" s="240">
        <v>11.5</v>
      </c>
      <c r="I181" s="204" t="s">
        <v>34</v>
      </c>
      <c r="J181" s="210" t="s">
        <v>35</v>
      </c>
      <c r="K181" s="236" t="s">
        <v>447</v>
      </c>
      <c r="L181" s="94" t="s">
        <v>37</v>
      </c>
      <c r="M181" s="44">
        <f t="shared" si="5"/>
        <v>92200000</v>
      </c>
      <c r="N181" s="44">
        <f t="shared" si="4"/>
        <v>92200000</v>
      </c>
      <c r="O181" s="44">
        <v>92200000</v>
      </c>
      <c r="P181" s="44">
        <v>0</v>
      </c>
      <c r="Q181" s="44"/>
      <c r="R181" s="44"/>
      <c r="S181" s="42" t="s">
        <v>38</v>
      </c>
      <c r="T181" s="42" t="s">
        <v>39</v>
      </c>
      <c r="U181" s="42" t="s">
        <v>52</v>
      </c>
      <c r="V181" s="42" t="s">
        <v>405</v>
      </c>
      <c r="W181" s="42" t="s">
        <v>176</v>
      </c>
      <c r="X181" s="42" t="s">
        <v>43</v>
      </c>
      <c r="Y181" s="42" t="s">
        <v>44</v>
      </c>
      <c r="Z181" s="46" t="s">
        <v>177</v>
      </c>
      <c r="AA181" s="215" t="s">
        <v>46</v>
      </c>
    </row>
    <row r="182" spans="1:27" ht="42.75" customHeight="1" x14ac:dyDescent="0.25">
      <c r="A182" s="34" t="s">
        <v>401</v>
      </c>
      <c r="B182" s="208">
        <v>80131502</v>
      </c>
      <c r="C182" s="210" t="s">
        <v>474</v>
      </c>
      <c r="D182" s="234"/>
      <c r="E182" s="80">
        <v>44071</v>
      </c>
      <c r="F182" s="238"/>
      <c r="G182" s="239"/>
      <c r="H182" s="240">
        <v>11.5</v>
      </c>
      <c r="I182" s="204" t="s">
        <v>34</v>
      </c>
      <c r="J182" s="210" t="s">
        <v>35</v>
      </c>
      <c r="K182" s="236" t="s">
        <v>447</v>
      </c>
      <c r="L182" s="94" t="s">
        <v>37</v>
      </c>
      <c r="M182" s="44">
        <f t="shared" si="5"/>
        <v>104719354</v>
      </c>
      <c r="N182" s="44">
        <f t="shared" si="4"/>
        <v>104719354</v>
      </c>
      <c r="O182" s="44">
        <v>104719354</v>
      </c>
      <c r="P182" s="44">
        <v>0</v>
      </c>
      <c r="Q182" s="44"/>
      <c r="R182" s="44"/>
      <c r="S182" s="42" t="s">
        <v>38</v>
      </c>
      <c r="T182" s="42" t="s">
        <v>39</v>
      </c>
      <c r="U182" s="42" t="s">
        <v>52</v>
      </c>
      <c r="V182" s="42" t="s">
        <v>405</v>
      </c>
      <c r="W182" s="42" t="s">
        <v>176</v>
      </c>
      <c r="X182" s="42" t="s">
        <v>43</v>
      </c>
      <c r="Y182" s="42" t="s">
        <v>44</v>
      </c>
      <c r="Z182" s="46" t="s">
        <v>177</v>
      </c>
      <c r="AA182" s="215" t="s">
        <v>46</v>
      </c>
    </row>
    <row r="183" spans="1:27" ht="57" customHeight="1" x14ac:dyDescent="0.25">
      <c r="A183" s="34" t="s">
        <v>401</v>
      </c>
      <c r="B183" s="208">
        <v>80131502</v>
      </c>
      <c r="C183" s="210" t="s">
        <v>475</v>
      </c>
      <c r="D183" s="234"/>
      <c r="E183" s="80">
        <v>44071</v>
      </c>
      <c r="F183" s="238"/>
      <c r="G183" s="239"/>
      <c r="H183" s="240">
        <v>11.5</v>
      </c>
      <c r="I183" s="204" t="s">
        <v>34</v>
      </c>
      <c r="J183" s="210" t="s">
        <v>35</v>
      </c>
      <c r="K183" s="236" t="s">
        <v>447</v>
      </c>
      <c r="L183" s="94" t="s">
        <v>37</v>
      </c>
      <c r="M183" s="44">
        <f t="shared" si="5"/>
        <v>219981925</v>
      </c>
      <c r="N183" s="44">
        <f t="shared" si="4"/>
        <v>219981925</v>
      </c>
      <c r="O183" s="44">
        <v>219981925</v>
      </c>
      <c r="P183" s="44"/>
      <c r="Q183" s="44"/>
      <c r="R183" s="44"/>
      <c r="S183" s="42" t="s">
        <v>38</v>
      </c>
      <c r="T183" s="42" t="s">
        <v>39</v>
      </c>
      <c r="U183" s="42" t="s">
        <v>52</v>
      </c>
      <c r="V183" s="42" t="s">
        <v>405</v>
      </c>
      <c r="W183" s="42" t="s">
        <v>176</v>
      </c>
      <c r="X183" s="42" t="s">
        <v>43</v>
      </c>
      <c r="Y183" s="42" t="s">
        <v>44</v>
      </c>
      <c r="Z183" s="46" t="s">
        <v>177</v>
      </c>
      <c r="AA183" s="215" t="s">
        <v>46</v>
      </c>
    </row>
    <row r="184" spans="1:27" ht="57" customHeight="1" x14ac:dyDescent="0.25">
      <c r="A184" s="34" t="s">
        <v>401</v>
      </c>
      <c r="B184" s="208">
        <v>80131502</v>
      </c>
      <c r="C184" s="210" t="s">
        <v>476</v>
      </c>
      <c r="D184" s="234"/>
      <c r="E184" s="80">
        <v>44071</v>
      </c>
      <c r="F184" s="238"/>
      <c r="G184" s="239"/>
      <c r="H184" s="240">
        <v>11.5</v>
      </c>
      <c r="I184" s="204" t="s">
        <v>34</v>
      </c>
      <c r="J184" s="210" t="s">
        <v>35</v>
      </c>
      <c r="K184" s="236" t="s">
        <v>447</v>
      </c>
      <c r="L184" s="94" t="s">
        <v>37</v>
      </c>
      <c r="M184" s="44">
        <f t="shared" si="5"/>
        <v>77182130</v>
      </c>
      <c r="N184" s="44">
        <f t="shared" si="4"/>
        <v>77182130</v>
      </c>
      <c r="O184" s="44">
        <v>77182130</v>
      </c>
      <c r="P184" s="44">
        <v>0</v>
      </c>
      <c r="Q184" s="44"/>
      <c r="R184" s="44"/>
      <c r="S184" s="42" t="s">
        <v>38</v>
      </c>
      <c r="T184" s="42" t="s">
        <v>39</v>
      </c>
      <c r="U184" s="42" t="s">
        <v>52</v>
      </c>
      <c r="V184" s="42" t="s">
        <v>405</v>
      </c>
      <c r="W184" s="42" t="s">
        <v>176</v>
      </c>
      <c r="X184" s="42" t="s">
        <v>43</v>
      </c>
      <c r="Y184" s="42" t="s">
        <v>44</v>
      </c>
      <c r="Z184" s="46" t="s">
        <v>177</v>
      </c>
      <c r="AA184" s="215" t="s">
        <v>46</v>
      </c>
    </row>
    <row r="185" spans="1:27" ht="57" customHeight="1" x14ac:dyDescent="0.25">
      <c r="A185" s="34" t="s">
        <v>401</v>
      </c>
      <c r="B185" s="208">
        <v>80131502</v>
      </c>
      <c r="C185" s="210" t="s">
        <v>477</v>
      </c>
      <c r="D185" s="234"/>
      <c r="E185" s="80">
        <v>44071</v>
      </c>
      <c r="F185" s="238"/>
      <c r="G185" s="239"/>
      <c r="H185" s="240">
        <v>11.5</v>
      </c>
      <c r="I185" s="204" t="s">
        <v>34</v>
      </c>
      <c r="J185" s="210" t="s">
        <v>35</v>
      </c>
      <c r="K185" s="236" t="s">
        <v>447</v>
      </c>
      <c r="L185" s="94" t="s">
        <v>37</v>
      </c>
      <c r="M185" s="44">
        <f t="shared" si="5"/>
        <v>124382619</v>
      </c>
      <c r="N185" s="44">
        <f t="shared" si="4"/>
        <v>124382619</v>
      </c>
      <c r="O185" s="44">
        <v>124382619</v>
      </c>
      <c r="P185" s="44">
        <v>0</v>
      </c>
      <c r="Q185" s="44"/>
      <c r="R185" s="44"/>
      <c r="S185" s="42" t="s">
        <v>38</v>
      </c>
      <c r="T185" s="42" t="s">
        <v>39</v>
      </c>
      <c r="U185" s="42" t="s">
        <v>52</v>
      </c>
      <c r="V185" s="42" t="s">
        <v>405</v>
      </c>
      <c r="W185" s="42" t="s">
        <v>176</v>
      </c>
      <c r="X185" s="42" t="s">
        <v>43</v>
      </c>
      <c r="Y185" s="42" t="s">
        <v>44</v>
      </c>
      <c r="Z185" s="46" t="s">
        <v>177</v>
      </c>
      <c r="AA185" s="215" t="s">
        <v>46</v>
      </c>
    </row>
    <row r="186" spans="1:27" ht="42.75" customHeight="1" x14ac:dyDescent="0.25">
      <c r="A186" s="34" t="s">
        <v>401</v>
      </c>
      <c r="B186" s="208">
        <v>80131502</v>
      </c>
      <c r="C186" s="210" t="s">
        <v>478</v>
      </c>
      <c r="D186" s="234"/>
      <c r="E186" s="80">
        <v>44071</v>
      </c>
      <c r="F186" s="238"/>
      <c r="G186" s="239"/>
      <c r="H186" s="240">
        <v>11.5</v>
      </c>
      <c r="I186" s="204" t="s">
        <v>34</v>
      </c>
      <c r="J186" s="210" t="s">
        <v>35</v>
      </c>
      <c r="K186" s="236" t="s">
        <v>447</v>
      </c>
      <c r="L186" s="94" t="s">
        <v>37</v>
      </c>
      <c r="M186" s="44">
        <f t="shared" si="5"/>
        <v>50387578</v>
      </c>
      <c r="N186" s="44">
        <f t="shared" si="4"/>
        <v>50387578</v>
      </c>
      <c r="O186" s="44">
        <v>50387578</v>
      </c>
      <c r="P186" s="44">
        <v>0</v>
      </c>
      <c r="Q186" s="44"/>
      <c r="R186" s="44"/>
      <c r="S186" s="42" t="s">
        <v>38</v>
      </c>
      <c r="T186" s="42" t="s">
        <v>39</v>
      </c>
      <c r="U186" s="42" t="s">
        <v>52</v>
      </c>
      <c r="V186" s="42" t="s">
        <v>405</v>
      </c>
      <c r="W186" s="42" t="s">
        <v>176</v>
      </c>
      <c r="X186" s="42" t="s">
        <v>43</v>
      </c>
      <c r="Y186" s="42" t="s">
        <v>44</v>
      </c>
      <c r="Z186" s="46" t="s">
        <v>177</v>
      </c>
      <c r="AA186" s="215" t="s">
        <v>46</v>
      </c>
    </row>
    <row r="187" spans="1:27" ht="57" customHeight="1" x14ac:dyDescent="0.25">
      <c r="A187" s="34" t="s">
        <v>401</v>
      </c>
      <c r="B187" s="208">
        <v>80131502</v>
      </c>
      <c r="C187" s="210" t="s">
        <v>479</v>
      </c>
      <c r="D187" s="234"/>
      <c r="E187" s="80">
        <v>44071</v>
      </c>
      <c r="F187" s="238"/>
      <c r="G187" s="239"/>
      <c r="H187" s="240">
        <v>11.5</v>
      </c>
      <c r="I187" s="204" t="s">
        <v>34</v>
      </c>
      <c r="J187" s="210" t="s">
        <v>35</v>
      </c>
      <c r="K187" s="236" t="s">
        <v>447</v>
      </c>
      <c r="L187" s="94" t="s">
        <v>37</v>
      </c>
      <c r="M187" s="44">
        <f t="shared" si="5"/>
        <v>116256294</v>
      </c>
      <c r="N187" s="44">
        <f t="shared" si="4"/>
        <v>116256294</v>
      </c>
      <c r="O187" s="44">
        <v>116256294</v>
      </c>
      <c r="P187" s="44">
        <v>0</v>
      </c>
      <c r="Q187" s="44"/>
      <c r="R187" s="44"/>
      <c r="S187" s="42" t="s">
        <v>38</v>
      </c>
      <c r="T187" s="42" t="s">
        <v>39</v>
      </c>
      <c r="U187" s="42" t="s">
        <v>52</v>
      </c>
      <c r="V187" s="42" t="s">
        <v>405</v>
      </c>
      <c r="W187" s="42" t="s">
        <v>176</v>
      </c>
      <c r="X187" s="42" t="s">
        <v>43</v>
      </c>
      <c r="Y187" s="42" t="s">
        <v>44</v>
      </c>
      <c r="Z187" s="46" t="s">
        <v>177</v>
      </c>
      <c r="AA187" s="215" t="s">
        <v>46</v>
      </c>
    </row>
    <row r="188" spans="1:27" ht="57" customHeight="1" x14ac:dyDescent="0.25">
      <c r="A188" s="34" t="s">
        <v>401</v>
      </c>
      <c r="B188" s="208">
        <v>80131502</v>
      </c>
      <c r="C188" s="210" t="s">
        <v>480</v>
      </c>
      <c r="D188" s="234"/>
      <c r="E188" s="80">
        <v>44071</v>
      </c>
      <c r="F188" s="238"/>
      <c r="G188" s="239"/>
      <c r="H188" s="240">
        <v>11.5</v>
      </c>
      <c r="I188" s="204" t="s">
        <v>34</v>
      </c>
      <c r="J188" s="210" t="s">
        <v>35</v>
      </c>
      <c r="K188" s="236" t="s">
        <v>447</v>
      </c>
      <c r="L188" s="94" t="s">
        <v>37</v>
      </c>
      <c r="M188" s="44">
        <f t="shared" si="5"/>
        <v>91852706</v>
      </c>
      <c r="N188" s="44">
        <f t="shared" si="4"/>
        <v>91852706</v>
      </c>
      <c r="O188" s="44">
        <v>91852706</v>
      </c>
      <c r="P188" s="44">
        <v>0</v>
      </c>
      <c r="Q188" s="44"/>
      <c r="R188" s="44"/>
      <c r="S188" s="42" t="s">
        <v>38</v>
      </c>
      <c r="T188" s="42" t="s">
        <v>39</v>
      </c>
      <c r="U188" s="42" t="s">
        <v>52</v>
      </c>
      <c r="V188" s="42" t="s">
        <v>405</v>
      </c>
      <c r="W188" s="42" t="s">
        <v>176</v>
      </c>
      <c r="X188" s="42" t="s">
        <v>43</v>
      </c>
      <c r="Y188" s="42" t="s">
        <v>44</v>
      </c>
      <c r="Z188" s="46" t="s">
        <v>177</v>
      </c>
      <c r="AA188" s="215" t="s">
        <v>46</v>
      </c>
    </row>
    <row r="189" spans="1:27" ht="57" customHeight="1" x14ac:dyDescent="0.25">
      <c r="A189" s="34" t="s">
        <v>401</v>
      </c>
      <c r="B189" s="208">
        <v>80131502</v>
      </c>
      <c r="C189" s="210" t="s">
        <v>481</v>
      </c>
      <c r="D189" s="234"/>
      <c r="E189" s="80">
        <v>44071</v>
      </c>
      <c r="F189" s="238"/>
      <c r="G189" s="239"/>
      <c r="H189" s="240">
        <v>11.5</v>
      </c>
      <c r="I189" s="204" t="s">
        <v>34</v>
      </c>
      <c r="J189" s="210" t="s">
        <v>35</v>
      </c>
      <c r="K189" s="236" t="s">
        <v>447</v>
      </c>
      <c r="L189" s="94" t="s">
        <v>37</v>
      </c>
      <c r="M189" s="44">
        <f t="shared" si="5"/>
        <v>78324717</v>
      </c>
      <c r="N189" s="44">
        <f t="shared" si="4"/>
        <v>78324717</v>
      </c>
      <c r="O189" s="44">
        <v>78324717</v>
      </c>
      <c r="P189" s="44">
        <v>0</v>
      </c>
      <c r="Q189" s="44"/>
      <c r="R189" s="44"/>
      <c r="S189" s="42" t="s">
        <v>38</v>
      </c>
      <c r="T189" s="42" t="s">
        <v>39</v>
      </c>
      <c r="U189" s="42" t="s">
        <v>52</v>
      </c>
      <c r="V189" s="42" t="s">
        <v>405</v>
      </c>
      <c r="W189" s="42" t="s">
        <v>176</v>
      </c>
      <c r="X189" s="42" t="s">
        <v>43</v>
      </c>
      <c r="Y189" s="42" t="s">
        <v>44</v>
      </c>
      <c r="Z189" s="46" t="s">
        <v>177</v>
      </c>
      <c r="AA189" s="215" t="s">
        <v>46</v>
      </c>
    </row>
    <row r="190" spans="1:27" ht="57" customHeight="1" x14ac:dyDescent="0.25">
      <c r="A190" s="34" t="s">
        <v>401</v>
      </c>
      <c r="B190" s="208">
        <v>80131502</v>
      </c>
      <c r="C190" s="210" t="s">
        <v>482</v>
      </c>
      <c r="D190" s="234"/>
      <c r="E190" s="80">
        <v>44071</v>
      </c>
      <c r="F190" s="238"/>
      <c r="G190" s="239"/>
      <c r="H190" s="240">
        <v>11.5</v>
      </c>
      <c r="I190" s="204" t="s">
        <v>34</v>
      </c>
      <c r="J190" s="210" t="s">
        <v>35</v>
      </c>
      <c r="K190" s="236" t="s">
        <v>447</v>
      </c>
      <c r="L190" s="94" t="s">
        <v>37</v>
      </c>
      <c r="M190" s="44">
        <f t="shared" si="5"/>
        <v>133943158</v>
      </c>
      <c r="N190" s="44">
        <f t="shared" si="4"/>
        <v>133943158</v>
      </c>
      <c r="O190" s="44">
        <v>133943158</v>
      </c>
      <c r="P190" s="44">
        <v>0</v>
      </c>
      <c r="Q190" s="44"/>
      <c r="R190" s="44"/>
      <c r="S190" s="42" t="s">
        <v>38</v>
      </c>
      <c r="T190" s="42" t="s">
        <v>39</v>
      </c>
      <c r="U190" s="42" t="s">
        <v>52</v>
      </c>
      <c r="V190" s="42" t="s">
        <v>405</v>
      </c>
      <c r="W190" s="42" t="s">
        <v>176</v>
      </c>
      <c r="X190" s="42" t="s">
        <v>43</v>
      </c>
      <c r="Y190" s="42" t="s">
        <v>44</v>
      </c>
      <c r="Z190" s="46" t="s">
        <v>177</v>
      </c>
      <c r="AA190" s="215" t="s">
        <v>46</v>
      </c>
    </row>
    <row r="191" spans="1:27" ht="57" customHeight="1" x14ac:dyDescent="0.25">
      <c r="A191" s="34" t="s">
        <v>401</v>
      </c>
      <c r="B191" s="208">
        <v>80131502</v>
      </c>
      <c r="C191" s="210" t="s">
        <v>483</v>
      </c>
      <c r="D191" s="234"/>
      <c r="E191" s="80">
        <v>44071</v>
      </c>
      <c r="F191" s="238"/>
      <c r="G191" s="239"/>
      <c r="H191" s="240">
        <v>11.5</v>
      </c>
      <c r="I191" s="204" t="s">
        <v>34</v>
      </c>
      <c r="J191" s="210" t="s">
        <v>35</v>
      </c>
      <c r="K191" s="236" t="s">
        <v>447</v>
      </c>
      <c r="L191" s="94" t="s">
        <v>37</v>
      </c>
      <c r="M191" s="44">
        <f t="shared" si="5"/>
        <v>71894817</v>
      </c>
      <c r="N191" s="44">
        <f t="shared" si="4"/>
        <v>71894817</v>
      </c>
      <c r="O191" s="44">
        <v>71894817</v>
      </c>
      <c r="P191" s="44">
        <v>0</v>
      </c>
      <c r="Q191" s="44"/>
      <c r="R191" s="44"/>
      <c r="S191" s="42" t="s">
        <v>38</v>
      </c>
      <c r="T191" s="42" t="s">
        <v>39</v>
      </c>
      <c r="U191" s="42" t="s">
        <v>52</v>
      </c>
      <c r="V191" s="42" t="s">
        <v>405</v>
      </c>
      <c r="W191" s="42" t="s">
        <v>176</v>
      </c>
      <c r="X191" s="42" t="s">
        <v>43</v>
      </c>
      <c r="Y191" s="42" t="s">
        <v>44</v>
      </c>
      <c r="Z191" s="46" t="s">
        <v>177</v>
      </c>
      <c r="AA191" s="215" t="s">
        <v>46</v>
      </c>
    </row>
    <row r="192" spans="1:27" ht="57" customHeight="1" x14ac:dyDescent="0.25">
      <c r="A192" s="34" t="s">
        <v>401</v>
      </c>
      <c r="B192" s="208">
        <v>80131502</v>
      </c>
      <c r="C192" s="210" t="s">
        <v>484</v>
      </c>
      <c r="D192" s="234"/>
      <c r="E192" s="80">
        <v>44071</v>
      </c>
      <c r="F192" s="238"/>
      <c r="G192" s="239"/>
      <c r="H192" s="240">
        <v>11.5</v>
      </c>
      <c r="I192" s="204" t="s">
        <v>34</v>
      </c>
      <c r="J192" s="210" t="s">
        <v>35</v>
      </c>
      <c r="K192" s="236" t="s">
        <v>447</v>
      </c>
      <c r="L192" s="94" t="s">
        <v>37</v>
      </c>
      <c r="M192" s="44">
        <f t="shared" si="5"/>
        <v>40343380</v>
      </c>
      <c r="N192" s="44">
        <f t="shared" si="4"/>
        <v>40343380</v>
      </c>
      <c r="O192" s="44">
        <v>40343380</v>
      </c>
      <c r="P192" s="44">
        <v>0</v>
      </c>
      <c r="Q192" s="44"/>
      <c r="R192" s="44"/>
      <c r="S192" s="42" t="s">
        <v>38</v>
      </c>
      <c r="T192" s="42" t="s">
        <v>39</v>
      </c>
      <c r="U192" s="42" t="s">
        <v>52</v>
      </c>
      <c r="V192" s="42" t="s">
        <v>405</v>
      </c>
      <c r="W192" s="42" t="s">
        <v>176</v>
      </c>
      <c r="X192" s="42" t="s">
        <v>43</v>
      </c>
      <c r="Y192" s="42" t="s">
        <v>44</v>
      </c>
      <c r="Z192" s="46" t="s">
        <v>177</v>
      </c>
      <c r="AA192" s="215" t="s">
        <v>46</v>
      </c>
    </row>
    <row r="193" spans="1:27" ht="57" customHeight="1" x14ac:dyDescent="0.25">
      <c r="A193" s="34" t="s">
        <v>401</v>
      </c>
      <c r="B193" s="208">
        <v>80131502</v>
      </c>
      <c r="C193" s="210" t="s">
        <v>485</v>
      </c>
      <c r="D193" s="234"/>
      <c r="E193" s="80">
        <v>44071</v>
      </c>
      <c r="F193" s="238"/>
      <c r="G193" s="239"/>
      <c r="H193" s="240">
        <v>11.5</v>
      </c>
      <c r="I193" s="204" t="s">
        <v>34</v>
      </c>
      <c r="J193" s="210" t="s">
        <v>35</v>
      </c>
      <c r="K193" s="236" t="s">
        <v>447</v>
      </c>
      <c r="L193" s="94" t="s">
        <v>37</v>
      </c>
      <c r="M193" s="44">
        <f t="shared" si="5"/>
        <v>61563696</v>
      </c>
      <c r="N193" s="44">
        <f t="shared" si="4"/>
        <v>61563696</v>
      </c>
      <c r="O193" s="44">
        <v>61563696</v>
      </c>
      <c r="P193" s="44">
        <v>0</v>
      </c>
      <c r="Q193" s="44"/>
      <c r="R193" s="44"/>
      <c r="S193" s="42" t="s">
        <v>38</v>
      </c>
      <c r="T193" s="42" t="s">
        <v>39</v>
      </c>
      <c r="U193" s="42" t="s">
        <v>52</v>
      </c>
      <c r="V193" s="42" t="s">
        <v>405</v>
      </c>
      <c r="W193" s="42" t="s">
        <v>176</v>
      </c>
      <c r="X193" s="42" t="s">
        <v>43</v>
      </c>
      <c r="Y193" s="42" t="s">
        <v>44</v>
      </c>
      <c r="Z193" s="46" t="s">
        <v>177</v>
      </c>
      <c r="AA193" s="215" t="s">
        <v>46</v>
      </c>
    </row>
    <row r="194" spans="1:27" ht="42.75" customHeight="1" x14ac:dyDescent="0.25">
      <c r="A194" s="34" t="s">
        <v>401</v>
      </c>
      <c r="B194" s="208">
        <v>80131502</v>
      </c>
      <c r="C194" s="36" t="s">
        <v>486</v>
      </c>
      <c r="D194" s="234"/>
      <c r="E194" s="80">
        <v>44104</v>
      </c>
      <c r="F194" s="238" t="s">
        <v>50</v>
      </c>
      <c r="G194" s="239" t="s">
        <v>433</v>
      </c>
      <c r="H194" s="240">
        <v>19.5</v>
      </c>
      <c r="I194" s="204" t="s">
        <v>34</v>
      </c>
      <c r="J194" s="210" t="s">
        <v>35</v>
      </c>
      <c r="K194" s="236" t="s">
        <v>447</v>
      </c>
      <c r="L194" s="94" t="s">
        <v>37</v>
      </c>
      <c r="M194" s="44">
        <f t="shared" si="5"/>
        <v>4550430649</v>
      </c>
      <c r="N194" s="44">
        <f t="shared" si="4"/>
        <v>113159341</v>
      </c>
      <c r="O194" s="44">
        <v>39282641</v>
      </c>
      <c r="P194" s="44">
        <v>73876700</v>
      </c>
      <c r="Q194" s="45">
        <v>2760881775</v>
      </c>
      <c r="R194" s="44">
        <v>1676389533</v>
      </c>
      <c r="S194" s="42" t="s">
        <v>98</v>
      </c>
      <c r="T194" s="42" t="s">
        <v>180</v>
      </c>
      <c r="U194" s="42" t="s">
        <v>52</v>
      </c>
      <c r="V194" s="42" t="s">
        <v>405</v>
      </c>
      <c r="W194" s="42" t="s">
        <v>176</v>
      </c>
      <c r="X194" s="42" t="s">
        <v>43</v>
      </c>
      <c r="Y194" s="42" t="s">
        <v>44</v>
      </c>
      <c r="Z194" s="46" t="s">
        <v>177</v>
      </c>
      <c r="AA194" s="215" t="s">
        <v>46</v>
      </c>
    </row>
    <row r="195" spans="1:27" ht="42.75" customHeight="1" x14ac:dyDescent="0.25">
      <c r="A195" s="34" t="s">
        <v>401</v>
      </c>
      <c r="B195" s="208">
        <v>80131502</v>
      </c>
      <c r="C195" s="36" t="s">
        <v>487</v>
      </c>
      <c r="D195" s="234"/>
      <c r="E195" s="80">
        <v>44104</v>
      </c>
      <c r="F195" s="238" t="s">
        <v>50</v>
      </c>
      <c r="G195" s="239" t="s">
        <v>433</v>
      </c>
      <c r="H195" s="48">
        <v>19.332999999999998</v>
      </c>
      <c r="I195" s="204" t="s">
        <v>34</v>
      </c>
      <c r="J195" s="210" t="s">
        <v>35</v>
      </c>
      <c r="K195" s="236" t="s">
        <v>447</v>
      </c>
      <c r="L195" s="94" t="s">
        <v>37</v>
      </c>
      <c r="M195" s="44">
        <f>+N195+Q195+R195</f>
        <v>81728663</v>
      </c>
      <c r="N195" s="44">
        <f>+O195+P195</f>
        <v>1333330</v>
      </c>
      <c r="O195" s="44"/>
      <c r="P195" s="44">
        <v>1333330</v>
      </c>
      <c r="Q195" s="44">
        <v>49973333</v>
      </c>
      <c r="R195" s="44">
        <v>30422000</v>
      </c>
      <c r="S195" s="42" t="s">
        <v>98</v>
      </c>
      <c r="T195" s="42" t="s">
        <v>180</v>
      </c>
      <c r="U195" s="42" t="s">
        <v>52</v>
      </c>
      <c r="V195" s="42" t="s">
        <v>405</v>
      </c>
      <c r="W195" s="42" t="s">
        <v>176</v>
      </c>
      <c r="X195" s="42" t="s">
        <v>43</v>
      </c>
      <c r="Y195" s="42" t="s">
        <v>44</v>
      </c>
      <c r="Z195" s="46" t="s">
        <v>177</v>
      </c>
      <c r="AA195" s="215" t="s">
        <v>46</v>
      </c>
    </row>
    <row r="196" spans="1:27" ht="42.75" customHeight="1" x14ac:dyDescent="0.25">
      <c r="A196" s="34" t="s">
        <v>401</v>
      </c>
      <c r="B196" s="208">
        <v>80131502</v>
      </c>
      <c r="C196" s="36" t="s">
        <v>488</v>
      </c>
      <c r="D196" s="234"/>
      <c r="E196" s="80">
        <v>44104</v>
      </c>
      <c r="F196" s="238" t="s">
        <v>50</v>
      </c>
      <c r="G196" s="239" t="s">
        <v>433</v>
      </c>
      <c r="H196" s="48">
        <v>12</v>
      </c>
      <c r="I196" s="204" t="s">
        <v>34</v>
      </c>
      <c r="J196" s="210" t="s">
        <v>35</v>
      </c>
      <c r="K196" s="236" t="s">
        <v>447</v>
      </c>
      <c r="L196" s="94" t="s">
        <v>37</v>
      </c>
      <c r="M196" s="44">
        <f>+N196+Q196+R196</f>
        <v>540704703</v>
      </c>
      <c r="N196" s="44">
        <f>+O196+P196</f>
        <v>22436985</v>
      </c>
      <c r="O196" s="44"/>
      <c r="P196" s="44">
        <v>22436985</v>
      </c>
      <c r="Q196" s="44">
        <v>518267718</v>
      </c>
      <c r="R196" s="44"/>
      <c r="S196" s="42" t="s">
        <v>98</v>
      </c>
      <c r="T196" s="42" t="s">
        <v>180</v>
      </c>
      <c r="U196" s="42" t="s">
        <v>52</v>
      </c>
      <c r="V196" s="42" t="s">
        <v>405</v>
      </c>
      <c r="W196" s="42" t="s">
        <v>176</v>
      </c>
      <c r="X196" s="42" t="s">
        <v>43</v>
      </c>
      <c r="Y196" s="42" t="s">
        <v>44</v>
      </c>
      <c r="Z196" s="46" t="s">
        <v>177</v>
      </c>
      <c r="AA196" s="215" t="s">
        <v>46</v>
      </c>
    </row>
    <row r="197" spans="1:27" ht="42.5" customHeight="1" x14ac:dyDescent="0.25">
      <c r="A197" s="55" t="s">
        <v>401</v>
      </c>
      <c r="B197" s="204">
        <v>80131502</v>
      </c>
      <c r="C197" s="57" t="s">
        <v>489</v>
      </c>
      <c r="D197" s="234"/>
      <c r="E197" s="58"/>
      <c r="F197" s="238"/>
      <c r="G197" s="238"/>
      <c r="H197" s="48"/>
      <c r="I197" s="204"/>
      <c r="J197" s="234" t="s">
        <v>35</v>
      </c>
      <c r="K197" s="236" t="s">
        <v>447</v>
      </c>
      <c r="L197" s="94" t="s">
        <v>37</v>
      </c>
      <c r="M197" s="64">
        <f>+N197+Q197+R197</f>
        <v>32600919</v>
      </c>
      <c r="N197" s="64">
        <f>+O197+P197</f>
        <v>32600919</v>
      </c>
      <c r="O197" s="64">
        <f>71883560-39282641</f>
        <v>32600919</v>
      </c>
      <c r="P197" s="64"/>
      <c r="Q197" s="64"/>
      <c r="R197" s="64"/>
      <c r="S197" s="33"/>
      <c r="T197" s="33"/>
      <c r="U197" s="33" t="s">
        <v>75</v>
      </c>
      <c r="V197" s="33" t="s">
        <v>405</v>
      </c>
      <c r="W197" s="33" t="s">
        <v>176</v>
      </c>
      <c r="X197" s="33" t="s">
        <v>43</v>
      </c>
      <c r="Y197" s="33" t="s">
        <v>44</v>
      </c>
      <c r="Z197" s="48" t="s">
        <v>177</v>
      </c>
      <c r="AA197" s="228" t="s">
        <v>46</v>
      </c>
    </row>
    <row r="198" spans="1:27" ht="42.75" customHeight="1" x14ac:dyDescent="0.25">
      <c r="A198" s="17" t="s">
        <v>401</v>
      </c>
      <c r="B198" s="203">
        <v>72102900</v>
      </c>
      <c r="C198" s="229" t="s">
        <v>490</v>
      </c>
      <c r="D198" s="229"/>
      <c r="E198" s="20">
        <v>43896</v>
      </c>
      <c r="F198" s="249" t="s">
        <v>91</v>
      </c>
      <c r="G198" s="249" t="s">
        <v>491</v>
      </c>
      <c r="H198" s="50">
        <v>6</v>
      </c>
      <c r="I198" s="89" t="s">
        <v>34</v>
      </c>
      <c r="J198" s="231" t="s">
        <v>249</v>
      </c>
      <c r="K198" s="231" t="s">
        <v>492</v>
      </c>
      <c r="L198" s="89" t="s">
        <v>493</v>
      </c>
      <c r="M198" s="26">
        <f t="shared" si="5"/>
        <v>119806155</v>
      </c>
      <c r="N198" s="91">
        <f t="shared" si="4"/>
        <v>119806155</v>
      </c>
      <c r="O198" s="172">
        <f>84054524+22000000-19248369</f>
        <v>86806155</v>
      </c>
      <c r="P198" s="139">
        <v>33000000</v>
      </c>
      <c r="Q198" s="26"/>
      <c r="R198" s="26"/>
      <c r="S198" s="29" t="s">
        <v>38</v>
      </c>
      <c r="T198" s="29" t="s">
        <v>39</v>
      </c>
      <c r="U198" s="29" t="s">
        <v>40</v>
      </c>
      <c r="V198" s="29" t="s">
        <v>405</v>
      </c>
      <c r="W198" s="29" t="s">
        <v>176</v>
      </c>
      <c r="X198" s="29" t="s">
        <v>43</v>
      </c>
      <c r="Y198" s="29" t="s">
        <v>44</v>
      </c>
      <c r="Z198" s="30" t="s">
        <v>177</v>
      </c>
      <c r="AA198" s="233" t="s">
        <v>46</v>
      </c>
    </row>
    <row r="199" spans="1:27" ht="42.75" customHeight="1" x14ac:dyDescent="0.25">
      <c r="A199" s="55" t="s">
        <v>401</v>
      </c>
      <c r="B199" s="204">
        <v>72102901</v>
      </c>
      <c r="C199" s="234" t="s">
        <v>494</v>
      </c>
      <c r="D199" s="234"/>
      <c r="E199" s="58"/>
      <c r="F199" s="250"/>
      <c r="G199" s="250"/>
      <c r="H199" s="60"/>
      <c r="I199" s="94"/>
      <c r="J199" s="236"/>
      <c r="K199" s="236" t="s">
        <v>492</v>
      </c>
      <c r="L199" s="94" t="s">
        <v>495</v>
      </c>
      <c r="M199" s="64">
        <f>+N199+Q199+R199</f>
        <v>119806155</v>
      </c>
      <c r="N199" s="64">
        <v>119806155</v>
      </c>
      <c r="O199" s="149">
        <f>84054524+22000000-86806155</f>
        <v>19248369</v>
      </c>
      <c r="P199" s="149"/>
      <c r="Q199" s="64"/>
      <c r="R199" s="64"/>
      <c r="S199" s="33"/>
      <c r="T199" s="33"/>
      <c r="U199" s="33" t="s">
        <v>75</v>
      </c>
      <c r="V199" s="33" t="s">
        <v>405</v>
      </c>
      <c r="W199" s="33" t="s">
        <v>176</v>
      </c>
      <c r="X199" s="33" t="s">
        <v>43</v>
      </c>
      <c r="Y199" s="33" t="s">
        <v>44</v>
      </c>
      <c r="Z199" s="48" t="s">
        <v>182</v>
      </c>
      <c r="AA199" s="228" t="s">
        <v>46</v>
      </c>
    </row>
    <row r="200" spans="1:27" ht="42.75" customHeight="1" x14ac:dyDescent="0.25">
      <c r="A200" s="55" t="s">
        <v>401</v>
      </c>
      <c r="B200" s="204">
        <v>72102900</v>
      </c>
      <c r="C200" s="234" t="s">
        <v>496</v>
      </c>
      <c r="D200" s="234"/>
      <c r="E200" s="58"/>
      <c r="F200" s="250"/>
      <c r="G200" s="250"/>
      <c r="H200" s="60"/>
      <c r="I200" s="94"/>
      <c r="J200" s="236"/>
      <c r="K200" s="236" t="s">
        <v>492</v>
      </c>
      <c r="L200" s="94" t="s">
        <v>497</v>
      </c>
      <c r="M200" s="64">
        <f>+N200+Q200+R200</f>
        <v>3000000</v>
      </c>
      <c r="N200" s="64">
        <f>+O200+P200</f>
        <v>3000000</v>
      </c>
      <c r="O200" s="149">
        <f>3000000</f>
        <v>3000000</v>
      </c>
      <c r="P200" s="149"/>
      <c r="Q200" s="64"/>
      <c r="R200" s="64"/>
      <c r="S200" s="33"/>
      <c r="T200" s="33"/>
      <c r="U200" s="33" t="s">
        <v>75</v>
      </c>
      <c r="V200" s="33" t="s">
        <v>405</v>
      </c>
      <c r="W200" s="33" t="s">
        <v>176</v>
      </c>
      <c r="X200" s="33" t="s">
        <v>43</v>
      </c>
      <c r="Y200" s="33" t="s">
        <v>44</v>
      </c>
      <c r="Z200" s="48" t="s">
        <v>177</v>
      </c>
      <c r="AA200" s="228" t="s">
        <v>46</v>
      </c>
    </row>
    <row r="201" spans="1:27" ht="57" customHeight="1" x14ac:dyDescent="0.25">
      <c r="A201" s="17" t="s">
        <v>401</v>
      </c>
      <c r="B201" s="203">
        <v>56101700</v>
      </c>
      <c r="C201" s="229" t="s">
        <v>498</v>
      </c>
      <c r="D201" s="229"/>
      <c r="E201" s="20">
        <v>43896</v>
      </c>
      <c r="F201" s="249" t="s">
        <v>91</v>
      </c>
      <c r="G201" s="249" t="s">
        <v>491</v>
      </c>
      <c r="H201" s="50">
        <v>6</v>
      </c>
      <c r="I201" s="251" t="s">
        <v>34</v>
      </c>
      <c r="J201" s="231" t="s">
        <v>203</v>
      </c>
      <c r="K201" s="231" t="s">
        <v>499</v>
      </c>
      <c r="L201" s="89" t="s">
        <v>500</v>
      </c>
      <c r="M201" s="26">
        <f>+N201+Q201+R201</f>
        <v>41297106</v>
      </c>
      <c r="N201" s="26">
        <f t="shared" si="4"/>
        <v>41297106</v>
      </c>
      <c r="O201" s="26">
        <v>41297106</v>
      </c>
      <c r="P201" s="139"/>
      <c r="Q201" s="71"/>
      <c r="R201" s="26"/>
      <c r="S201" s="29" t="s">
        <v>38</v>
      </c>
      <c r="T201" s="29" t="s">
        <v>39</v>
      </c>
      <c r="U201" s="29" t="s">
        <v>40</v>
      </c>
      <c r="V201" s="29" t="s">
        <v>405</v>
      </c>
      <c r="W201" s="29" t="s">
        <v>176</v>
      </c>
      <c r="X201" s="29" t="s">
        <v>43</v>
      </c>
      <c r="Y201" s="29" t="s">
        <v>44</v>
      </c>
      <c r="Z201" s="30" t="s">
        <v>177</v>
      </c>
      <c r="AA201" s="233" t="s">
        <v>46</v>
      </c>
    </row>
    <row r="202" spans="1:27" ht="57" customHeight="1" x14ac:dyDescent="0.25">
      <c r="A202" s="55" t="s">
        <v>401</v>
      </c>
      <c r="B202" s="204">
        <v>56101700</v>
      </c>
      <c r="C202" s="234" t="s">
        <v>501</v>
      </c>
      <c r="D202" s="234"/>
      <c r="E202" s="58"/>
      <c r="F202" s="250"/>
      <c r="G202" s="250"/>
      <c r="H202" s="60"/>
      <c r="I202" s="252"/>
      <c r="J202" s="236"/>
      <c r="K202" s="236" t="s">
        <v>499</v>
      </c>
      <c r="L202" s="94" t="s">
        <v>500</v>
      </c>
      <c r="M202" s="64">
        <f>+N202+Q202+R202</f>
        <v>82425106</v>
      </c>
      <c r="N202" s="64">
        <f t="shared" si="4"/>
        <v>82425106</v>
      </c>
      <c r="O202" s="64">
        <v>41297106</v>
      </c>
      <c r="P202" s="64">
        <v>41128000</v>
      </c>
      <c r="Q202" s="75"/>
      <c r="R202" s="64"/>
      <c r="S202" s="33" t="s">
        <v>38</v>
      </c>
      <c r="T202" s="33" t="s">
        <v>39</v>
      </c>
      <c r="U202" s="33" t="s">
        <v>75</v>
      </c>
      <c r="V202" s="33" t="s">
        <v>405</v>
      </c>
      <c r="W202" s="33" t="s">
        <v>176</v>
      </c>
      <c r="X202" s="33" t="s">
        <v>43</v>
      </c>
      <c r="Y202" s="33" t="s">
        <v>44</v>
      </c>
      <c r="Z202" s="48" t="s">
        <v>177</v>
      </c>
      <c r="AA202" s="228" t="s">
        <v>46</v>
      </c>
    </row>
    <row r="203" spans="1:27" ht="42.75" customHeight="1" x14ac:dyDescent="0.25">
      <c r="A203" s="55" t="s">
        <v>401</v>
      </c>
      <c r="B203" s="204">
        <v>72102900</v>
      </c>
      <c r="C203" s="234" t="s">
        <v>502</v>
      </c>
      <c r="D203" s="234"/>
      <c r="E203" s="58">
        <v>44089</v>
      </c>
      <c r="F203" s="250" t="s">
        <v>50</v>
      </c>
      <c r="G203" s="250" t="s">
        <v>50</v>
      </c>
      <c r="H203" s="60">
        <v>2</v>
      </c>
      <c r="I203" s="252" t="s">
        <v>34</v>
      </c>
      <c r="J203" s="236" t="s">
        <v>225</v>
      </c>
      <c r="K203" s="236" t="s">
        <v>503</v>
      </c>
      <c r="L203" s="94" t="s">
        <v>500</v>
      </c>
      <c r="M203" s="64">
        <f t="shared" si="5"/>
        <v>12918065</v>
      </c>
      <c r="N203" s="64">
        <f t="shared" si="4"/>
        <v>12918065</v>
      </c>
      <c r="O203" s="64">
        <v>12918065</v>
      </c>
      <c r="P203" s="149"/>
      <c r="Q203" s="64"/>
      <c r="R203" s="64"/>
      <c r="S203" s="33" t="s">
        <v>38</v>
      </c>
      <c r="T203" s="33" t="s">
        <v>39</v>
      </c>
      <c r="U203" s="33"/>
      <c r="V203" s="33" t="s">
        <v>405</v>
      </c>
      <c r="W203" s="33" t="s">
        <v>176</v>
      </c>
      <c r="X203" s="33" t="s">
        <v>43</v>
      </c>
      <c r="Y203" s="33" t="s">
        <v>44</v>
      </c>
      <c r="Z203" s="48" t="s">
        <v>177</v>
      </c>
      <c r="AA203" s="228" t="s">
        <v>46</v>
      </c>
    </row>
    <row r="204" spans="1:27" ht="42.75" customHeight="1" x14ac:dyDescent="0.25">
      <c r="A204" s="17" t="s">
        <v>401</v>
      </c>
      <c r="B204" s="253" t="s">
        <v>504</v>
      </c>
      <c r="C204" s="229" t="s">
        <v>505</v>
      </c>
      <c r="D204" s="229"/>
      <c r="E204" s="20">
        <v>43924</v>
      </c>
      <c r="F204" s="79" t="s">
        <v>209</v>
      </c>
      <c r="G204" s="127" t="s">
        <v>33</v>
      </c>
      <c r="H204" s="50">
        <v>2</v>
      </c>
      <c r="I204" s="251" t="s">
        <v>34</v>
      </c>
      <c r="J204" s="231" t="s">
        <v>225</v>
      </c>
      <c r="K204" s="231" t="s">
        <v>506</v>
      </c>
      <c r="L204" s="253" t="s">
        <v>507</v>
      </c>
      <c r="M204" s="26">
        <f t="shared" si="5"/>
        <v>38653090</v>
      </c>
      <c r="N204" s="26">
        <f t="shared" si="4"/>
        <v>38653090</v>
      </c>
      <c r="O204" s="254">
        <f>10000000+1523320+33002280-5872510</f>
        <v>38653090</v>
      </c>
      <c r="P204" s="26">
        <v>0</v>
      </c>
      <c r="Q204" s="26"/>
      <c r="R204" s="26"/>
      <c r="S204" s="29" t="s">
        <v>38</v>
      </c>
      <c r="T204" s="29" t="s">
        <v>39</v>
      </c>
      <c r="U204" s="29" t="s">
        <v>40</v>
      </c>
      <c r="V204" s="29" t="s">
        <v>405</v>
      </c>
      <c r="W204" s="29" t="s">
        <v>176</v>
      </c>
      <c r="X204" s="29" t="s">
        <v>43</v>
      </c>
      <c r="Y204" s="29" t="s">
        <v>44</v>
      </c>
      <c r="Z204" s="30" t="s">
        <v>177</v>
      </c>
      <c r="AA204" s="233" t="s">
        <v>46</v>
      </c>
    </row>
    <row r="205" spans="1:27" ht="42.75" customHeight="1" x14ac:dyDescent="0.25">
      <c r="A205" s="17" t="s">
        <v>401</v>
      </c>
      <c r="B205" s="203" t="s">
        <v>508</v>
      </c>
      <c r="C205" s="229" t="s">
        <v>509</v>
      </c>
      <c r="D205" s="229"/>
      <c r="E205" s="20">
        <v>44012</v>
      </c>
      <c r="F205" s="79" t="s">
        <v>209</v>
      </c>
      <c r="G205" s="127" t="s">
        <v>33</v>
      </c>
      <c r="H205" s="50">
        <v>2</v>
      </c>
      <c r="I205" s="251" t="s">
        <v>34</v>
      </c>
      <c r="J205" s="231" t="s">
        <v>225</v>
      </c>
      <c r="K205" s="231" t="s">
        <v>506</v>
      </c>
      <c r="L205" s="89" t="s">
        <v>297</v>
      </c>
      <c r="M205" s="26">
        <f t="shared" si="5"/>
        <v>60554600</v>
      </c>
      <c r="N205" s="26">
        <f t="shared" si="4"/>
        <v>60554600</v>
      </c>
      <c r="O205" s="254">
        <f>50000000+11981270-1426670</f>
        <v>60554600</v>
      </c>
      <c r="P205" s="26">
        <v>0</v>
      </c>
      <c r="Q205" s="26"/>
      <c r="R205" s="26"/>
      <c r="S205" s="29" t="s">
        <v>38</v>
      </c>
      <c r="T205" s="29" t="s">
        <v>39</v>
      </c>
      <c r="U205" s="29" t="s">
        <v>40</v>
      </c>
      <c r="V205" s="29" t="s">
        <v>405</v>
      </c>
      <c r="W205" s="29" t="s">
        <v>176</v>
      </c>
      <c r="X205" s="29" t="s">
        <v>43</v>
      </c>
      <c r="Y205" s="29" t="s">
        <v>44</v>
      </c>
      <c r="Z205" s="30" t="s">
        <v>177</v>
      </c>
      <c r="AA205" s="233" t="s">
        <v>46</v>
      </c>
    </row>
    <row r="206" spans="1:27" ht="42.75" customHeight="1" x14ac:dyDescent="0.25">
      <c r="A206" s="55" t="s">
        <v>401</v>
      </c>
      <c r="B206" s="204" t="s">
        <v>508</v>
      </c>
      <c r="C206" s="234" t="s">
        <v>510</v>
      </c>
      <c r="D206" s="234"/>
      <c r="E206" s="58"/>
      <c r="F206" s="131"/>
      <c r="G206" s="132"/>
      <c r="H206" s="60"/>
      <c r="I206" s="252"/>
      <c r="J206" s="236"/>
      <c r="K206" s="236" t="s">
        <v>506</v>
      </c>
      <c r="L206" s="94" t="s">
        <v>297</v>
      </c>
      <c r="M206" s="64">
        <f>+N206+Q206+R206</f>
        <v>7299180</v>
      </c>
      <c r="N206" s="64">
        <f>+O206+P206</f>
        <v>7299180</v>
      </c>
      <c r="O206" s="255">
        <f>5872510+1426670</f>
        <v>7299180</v>
      </c>
      <c r="P206" s="64">
        <v>0</v>
      </c>
      <c r="Q206" s="64"/>
      <c r="R206" s="64"/>
      <c r="S206" s="33" t="s">
        <v>38</v>
      </c>
      <c r="T206" s="33" t="s">
        <v>39</v>
      </c>
      <c r="U206" s="33" t="s">
        <v>75</v>
      </c>
      <c r="V206" s="33" t="s">
        <v>405</v>
      </c>
      <c r="W206" s="33" t="s">
        <v>176</v>
      </c>
      <c r="X206" s="33" t="s">
        <v>43</v>
      </c>
      <c r="Y206" s="33" t="s">
        <v>44</v>
      </c>
      <c r="Z206" s="48" t="s">
        <v>177</v>
      </c>
      <c r="AA206" s="228" t="s">
        <v>46</v>
      </c>
    </row>
    <row r="207" spans="1:27" ht="57.75" customHeight="1" x14ac:dyDescent="0.25">
      <c r="A207" s="17" t="s">
        <v>401</v>
      </c>
      <c r="B207" s="253" t="s">
        <v>511</v>
      </c>
      <c r="C207" s="229" t="s">
        <v>512</v>
      </c>
      <c r="D207" s="229"/>
      <c r="E207" s="20">
        <v>43896</v>
      </c>
      <c r="F207" s="249" t="s">
        <v>91</v>
      </c>
      <c r="G207" s="249" t="s">
        <v>59</v>
      </c>
      <c r="H207" s="50">
        <v>6</v>
      </c>
      <c r="I207" s="251" t="s">
        <v>34</v>
      </c>
      <c r="J207" s="229" t="s">
        <v>203</v>
      </c>
      <c r="K207" s="231" t="s">
        <v>513</v>
      </c>
      <c r="L207" s="232" t="s">
        <v>37</v>
      </c>
      <c r="M207" s="26">
        <f t="shared" si="5"/>
        <v>112598574</v>
      </c>
      <c r="N207" s="26">
        <f t="shared" si="4"/>
        <v>112598574</v>
      </c>
      <c r="O207" s="254">
        <v>112598574</v>
      </c>
      <c r="P207" s="26">
        <v>0</v>
      </c>
      <c r="Q207" s="26"/>
      <c r="R207" s="26"/>
      <c r="S207" s="29" t="s">
        <v>38</v>
      </c>
      <c r="T207" s="29" t="s">
        <v>39</v>
      </c>
      <c r="U207" s="29" t="s">
        <v>40</v>
      </c>
      <c r="V207" s="29" t="s">
        <v>405</v>
      </c>
      <c r="W207" s="29" t="s">
        <v>176</v>
      </c>
      <c r="X207" s="29" t="s">
        <v>43</v>
      </c>
      <c r="Y207" s="29" t="s">
        <v>44</v>
      </c>
      <c r="Z207" s="30" t="s">
        <v>177</v>
      </c>
      <c r="AA207" s="233" t="s">
        <v>46</v>
      </c>
    </row>
    <row r="208" spans="1:27" ht="42.75" customHeight="1" x14ac:dyDescent="0.25">
      <c r="A208" s="17" t="s">
        <v>401</v>
      </c>
      <c r="B208" s="203" t="s">
        <v>514</v>
      </c>
      <c r="C208" s="229" t="s">
        <v>515</v>
      </c>
      <c r="D208" s="229"/>
      <c r="E208" s="20">
        <v>43896</v>
      </c>
      <c r="F208" s="249" t="s">
        <v>91</v>
      </c>
      <c r="G208" s="249" t="s">
        <v>59</v>
      </c>
      <c r="H208" s="50">
        <v>7</v>
      </c>
      <c r="I208" s="251" t="s">
        <v>34</v>
      </c>
      <c r="J208" s="231" t="s">
        <v>249</v>
      </c>
      <c r="K208" s="231" t="s">
        <v>516</v>
      </c>
      <c r="L208" s="89" t="s">
        <v>37</v>
      </c>
      <c r="M208" s="26">
        <f t="shared" si="5"/>
        <v>161525000</v>
      </c>
      <c r="N208" s="26">
        <f t="shared" si="4"/>
        <v>161525000</v>
      </c>
      <c r="O208" s="256">
        <f>131540968+57981600+5000000-40397568</f>
        <v>154125000</v>
      </c>
      <c r="P208" s="257">
        <f>11459032-4059032</f>
        <v>7400000</v>
      </c>
      <c r="Q208" s="26"/>
      <c r="R208" s="26"/>
      <c r="S208" s="29" t="s">
        <v>38</v>
      </c>
      <c r="T208" s="29" t="s">
        <v>39</v>
      </c>
      <c r="U208" s="29" t="s">
        <v>40</v>
      </c>
      <c r="V208" s="29" t="s">
        <v>405</v>
      </c>
      <c r="W208" s="29" t="s">
        <v>176</v>
      </c>
      <c r="X208" s="29" t="s">
        <v>43</v>
      </c>
      <c r="Y208" s="29" t="s">
        <v>44</v>
      </c>
      <c r="Z208" s="30" t="s">
        <v>177</v>
      </c>
      <c r="AA208" s="233" t="s">
        <v>46</v>
      </c>
    </row>
    <row r="209" spans="1:27" ht="42.75" customHeight="1" x14ac:dyDescent="0.25">
      <c r="A209" s="55" t="s">
        <v>401</v>
      </c>
      <c r="B209" s="204" t="s">
        <v>514</v>
      </c>
      <c r="C209" s="234" t="s">
        <v>517</v>
      </c>
      <c r="D209" s="234"/>
      <c r="E209" s="58"/>
      <c r="F209" s="250"/>
      <c r="G209" s="250"/>
      <c r="H209" s="60"/>
      <c r="I209" s="252"/>
      <c r="J209" s="236"/>
      <c r="K209" s="236" t="s">
        <v>516</v>
      </c>
      <c r="L209" s="94" t="s">
        <v>37</v>
      </c>
      <c r="M209" s="64">
        <f>+N209+Q209+R209</f>
        <v>198581600</v>
      </c>
      <c r="N209" s="64">
        <f>+O209+P209</f>
        <v>44456600</v>
      </c>
      <c r="O209" s="258">
        <f>131540968+57981600+5000000-154125000</f>
        <v>40397568</v>
      </c>
      <c r="P209" s="258">
        <f>11459032-7400000</f>
        <v>4059032</v>
      </c>
      <c r="Q209" s="64">
        <f>161525000-7400000</f>
        <v>154125000</v>
      </c>
      <c r="R209" s="64"/>
      <c r="S209" s="33"/>
      <c r="T209" s="33"/>
      <c r="U209" s="33" t="s">
        <v>75</v>
      </c>
      <c r="V209" s="33" t="s">
        <v>405</v>
      </c>
      <c r="W209" s="33" t="s">
        <v>176</v>
      </c>
      <c r="X209" s="33" t="s">
        <v>43</v>
      </c>
      <c r="Y209" s="33" t="s">
        <v>44</v>
      </c>
      <c r="Z209" s="48" t="s">
        <v>177</v>
      </c>
      <c r="AA209" s="228" t="s">
        <v>46</v>
      </c>
    </row>
    <row r="210" spans="1:27" ht="42.75" customHeight="1" x14ac:dyDescent="0.25">
      <c r="A210" s="17" t="s">
        <v>401</v>
      </c>
      <c r="B210" s="203">
        <v>84131503</v>
      </c>
      <c r="C210" s="229" t="s">
        <v>518</v>
      </c>
      <c r="D210" s="229"/>
      <c r="E210" s="20"/>
      <c r="F210" s="29"/>
      <c r="G210" s="54"/>
      <c r="H210" s="50"/>
      <c r="I210" s="259" t="s">
        <v>190</v>
      </c>
      <c r="J210" s="229"/>
      <c r="K210" s="231" t="s">
        <v>519</v>
      </c>
      <c r="L210" s="89" t="s">
        <v>520</v>
      </c>
      <c r="M210" s="26">
        <f>+N210+Q210+R210</f>
        <v>2316600</v>
      </c>
      <c r="N210" s="26">
        <f t="shared" si="4"/>
        <v>2316600</v>
      </c>
      <c r="O210" s="26">
        <v>2316600</v>
      </c>
      <c r="P210" s="26"/>
      <c r="Q210" s="26"/>
      <c r="R210" s="26"/>
      <c r="S210" s="29" t="s">
        <v>38</v>
      </c>
      <c r="T210" s="29" t="s">
        <v>39</v>
      </c>
      <c r="U210" s="29" t="s">
        <v>40</v>
      </c>
      <c r="V210" s="29" t="s">
        <v>405</v>
      </c>
      <c r="W210" s="29" t="s">
        <v>176</v>
      </c>
      <c r="X210" s="29" t="s">
        <v>43</v>
      </c>
      <c r="Y210" s="29" t="s">
        <v>44</v>
      </c>
      <c r="Z210" s="30" t="s">
        <v>177</v>
      </c>
      <c r="AA210" s="233" t="s">
        <v>46</v>
      </c>
    </row>
    <row r="211" spans="1:27" ht="83.5" customHeight="1" x14ac:dyDescent="0.25">
      <c r="A211" s="17" t="s">
        <v>401</v>
      </c>
      <c r="B211" s="203">
        <v>84131503</v>
      </c>
      <c r="C211" s="229" t="s">
        <v>521</v>
      </c>
      <c r="D211" s="229"/>
      <c r="E211" s="20">
        <v>43868</v>
      </c>
      <c r="F211" s="29" t="s">
        <v>115</v>
      </c>
      <c r="G211" s="54" t="s">
        <v>91</v>
      </c>
      <c r="H211" s="50">
        <v>1798</v>
      </c>
      <c r="I211" s="259" t="s">
        <v>190</v>
      </c>
      <c r="J211" s="229" t="s">
        <v>151</v>
      </c>
      <c r="K211" s="231" t="s">
        <v>519</v>
      </c>
      <c r="L211" s="89" t="s">
        <v>520</v>
      </c>
      <c r="M211" s="26">
        <f t="shared" si="5"/>
        <v>785681371</v>
      </c>
      <c r="N211" s="26">
        <f t="shared" si="4"/>
        <v>785681371</v>
      </c>
      <c r="O211" s="260">
        <f>1255597858-92141008-60943295-316832184</f>
        <v>785681371</v>
      </c>
      <c r="P211" s="26"/>
      <c r="Q211" s="26"/>
      <c r="R211" s="26"/>
      <c r="S211" s="29" t="s">
        <v>38</v>
      </c>
      <c r="T211" s="29" t="s">
        <v>39</v>
      </c>
      <c r="U211" s="29" t="s">
        <v>40</v>
      </c>
      <c r="V211" s="29" t="s">
        <v>405</v>
      </c>
      <c r="W211" s="29" t="s">
        <v>176</v>
      </c>
      <c r="X211" s="29" t="s">
        <v>43</v>
      </c>
      <c r="Y211" s="29" t="s">
        <v>44</v>
      </c>
      <c r="Z211" s="30" t="s">
        <v>177</v>
      </c>
      <c r="AA211" s="233" t="s">
        <v>46</v>
      </c>
    </row>
    <row r="212" spans="1:27" ht="42.75" customHeight="1" x14ac:dyDescent="0.25">
      <c r="A212" s="17" t="s">
        <v>401</v>
      </c>
      <c r="B212" s="203">
        <v>84131503</v>
      </c>
      <c r="C212" s="229" t="s">
        <v>522</v>
      </c>
      <c r="D212" s="229"/>
      <c r="E212" s="20"/>
      <c r="F212" s="29" t="s">
        <v>91</v>
      </c>
      <c r="G212" s="54" t="s">
        <v>59</v>
      </c>
      <c r="H212" s="50">
        <v>1</v>
      </c>
      <c r="I212" s="259" t="s">
        <v>523</v>
      </c>
      <c r="J212" s="229" t="s">
        <v>179</v>
      </c>
      <c r="K212" s="231" t="s">
        <v>519</v>
      </c>
      <c r="L212" s="89" t="s">
        <v>520</v>
      </c>
      <c r="M212" s="26">
        <f>+N212+Q212+R212</f>
        <v>59152057</v>
      </c>
      <c r="N212" s="26">
        <f t="shared" si="4"/>
        <v>59152057</v>
      </c>
      <c r="O212" s="260">
        <f>1255597858-1102513555-60943295-32988951</f>
        <v>59152057</v>
      </c>
      <c r="P212" s="26"/>
      <c r="Q212" s="26"/>
      <c r="R212" s="26"/>
      <c r="S212" s="29" t="s">
        <v>38</v>
      </c>
      <c r="T212" s="29" t="s">
        <v>39</v>
      </c>
      <c r="U212" s="29" t="s">
        <v>40</v>
      </c>
      <c r="V212" s="29" t="s">
        <v>405</v>
      </c>
      <c r="W212" s="29" t="s">
        <v>176</v>
      </c>
      <c r="X212" s="29" t="s">
        <v>43</v>
      </c>
      <c r="Y212" s="29" t="s">
        <v>44</v>
      </c>
      <c r="Z212" s="30" t="s">
        <v>177</v>
      </c>
      <c r="AA212" s="233" t="s">
        <v>46</v>
      </c>
    </row>
    <row r="213" spans="1:27" ht="42.75" customHeight="1" x14ac:dyDescent="0.25">
      <c r="A213" s="55" t="s">
        <v>401</v>
      </c>
      <c r="B213" s="56"/>
      <c r="C213" s="234" t="s">
        <v>524</v>
      </c>
      <c r="D213" s="93"/>
      <c r="E213" s="58"/>
      <c r="F213" s="33"/>
      <c r="G213" s="59"/>
      <c r="H213" s="60"/>
      <c r="I213" s="202"/>
      <c r="J213" s="57"/>
      <c r="K213" s="33" t="s">
        <v>519</v>
      </c>
      <c r="L213" s="62"/>
      <c r="M213" s="64">
        <f>+N213+Q213+R213</f>
        <v>114724893</v>
      </c>
      <c r="N213" s="64">
        <f t="shared" si="4"/>
        <v>114724893</v>
      </c>
      <c r="O213" s="261">
        <f>347504535-34662280-83766355-5840896-13223411-10121338 -59338872-25826490</f>
        <v>114724893</v>
      </c>
      <c r="P213" s="64"/>
      <c r="Q213" s="75"/>
      <c r="R213" s="64"/>
      <c r="S213" s="33"/>
      <c r="T213" s="33"/>
      <c r="U213" s="33" t="s">
        <v>75</v>
      </c>
      <c r="V213" s="33"/>
      <c r="W213" s="33"/>
      <c r="X213" s="33"/>
      <c r="Y213" s="33"/>
      <c r="Z213" s="48"/>
      <c r="AA213" s="95"/>
    </row>
    <row r="214" spans="1:27" ht="75" customHeight="1" x14ac:dyDescent="0.25">
      <c r="A214" s="17" t="s">
        <v>401</v>
      </c>
      <c r="B214" s="203">
        <v>84131503</v>
      </c>
      <c r="C214" s="229" t="s">
        <v>525</v>
      </c>
      <c r="D214" s="229"/>
      <c r="E214" s="20">
        <v>43868</v>
      </c>
      <c r="F214" s="29" t="s">
        <v>115</v>
      </c>
      <c r="G214" s="54" t="s">
        <v>91</v>
      </c>
      <c r="H214" s="50">
        <v>1799</v>
      </c>
      <c r="I214" s="259" t="s">
        <v>190</v>
      </c>
      <c r="J214" s="229" t="s">
        <v>151</v>
      </c>
      <c r="K214" s="231" t="s">
        <v>519</v>
      </c>
      <c r="L214" s="89" t="s">
        <v>526</v>
      </c>
      <c r="M214" s="26">
        <f>+N214+Q214+R214</f>
        <v>15068059</v>
      </c>
      <c r="N214" s="26">
        <f t="shared" si="4"/>
        <v>15068059</v>
      </c>
      <c r="O214" s="260"/>
      <c r="P214" s="26">
        <v>15068059</v>
      </c>
      <c r="Q214" s="26"/>
      <c r="R214" s="26"/>
      <c r="S214" s="29" t="s">
        <v>38</v>
      </c>
      <c r="T214" s="29" t="s">
        <v>39</v>
      </c>
      <c r="U214" s="29" t="s">
        <v>40</v>
      </c>
      <c r="V214" s="29" t="s">
        <v>405</v>
      </c>
      <c r="W214" s="29" t="s">
        <v>176</v>
      </c>
      <c r="X214" s="29" t="s">
        <v>43</v>
      </c>
      <c r="Y214" s="29" t="s">
        <v>44</v>
      </c>
      <c r="Z214" s="30" t="s">
        <v>182</v>
      </c>
      <c r="AA214" s="233" t="s">
        <v>46</v>
      </c>
    </row>
    <row r="215" spans="1:27" ht="75" customHeight="1" x14ac:dyDescent="0.25">
      <c r="A215" s="55" t="s">
        <v>401</v>
      </c>
      <c r="B215" s="204">
        <v>84131503</v>
      </c>
      <c r="C215" s="234" t="s">
        <v>527</v>
      </c>
      <c r="D215" s="234"/>
      <c r="E215" s="58"/>
      <c r="F215" s="33"/>
      <c r="G215" s="59"/>
      <c r="H215" s="60"/>
      <c r="I215" s="262"/>
      <c r="J215" s="234"/>
      <c r="K215" s="236" t="s">
        <v>519</v>
      </c>
      <c r="L215" s="94" t="s">
        <v>526</v>
      </c>
      <c r="M215" s="64">
        <f>+N215+Q215+R215</f>
        <v>61937305</v>
      </c>
      <c r="N215" s="64">
        <f t="shared" ref="N215:N234" si="6">+O215+P215</f>
        <v>61937305</v>
      </c>
      <c r="O215" s="261">
        <f>65592320+36910000-2905835-37659180</f>
        <v>61937305</v>
      </c>
      <c r="P215" s="64"/>
      <c r="Q215" s="64"/>
      <c r="R215" s="64"/>
      <c r="S215" s="33" t="s">
        <v>38</v>
      </c>
      <c r="T215" s="33" t="s">
        <v>39</v>
      </c>
      <c r="U215" s="33" t="s">
        <v>75</v>
      </c>
      <c r="V215" s="33" t="s">
        <v>405</v>
      </c>
      <c r="W215" s="33" t="s">
        <v>176</v>
      </c>
      <c r="X215" s="33" t="s">
        <v>43</v>
      </c>
      <c r="Y215" s="33" t="s">
        <v>44</v>
      </c>
      <c r="Z215" s="48" t="s">
        <v>182</v>
      </c>
      <c r="AA215" s="228" t="s">
        <v>46</v>
      </c>
    </row>
    <row r="216" spans="1:27" ht="82" customHeight="1" x14ac:dyDescent="0.25">
      <c r="A216" s="17" t="s">
        <v>401</v>
      </c>
      <c r="B216" s="203" t="s">
        <v>528</v>
      </c>
      <c r="C216" s="229" t="s">
        <v>529</v>
      </c>
      <c r="D216" s="229"/>
      <c r="E216" s="20">
        <v>43921</v>
      </c>
      <c r="F216" s="29" t="s">
        <v>209</v>
      </c>
      <c r="G216" s="29" t="s">
        <v>33</v>
      </c>
      <c r="H216" s="50">
        <v>2</v>
      </c>
      <c r="I216" s="251" t="s">
        <v>34</v>
      </c>
      <c r="J216" s="231" t="s">
        <v>225</v>
      </c>
      <c r="K216" s="231" t="s">
        <v>506</v>
      </c>
      <c r="L216" s="89" t="s">
        <v>530</v>
      </c>
      <c r="M216" s="91">
        <f t="shared" si="5"/>
        <v>22579200</v>
      </c>
      <c r="N216" s="26">
        <f t="shared" si="6"/>
        <v>22579200</v>
      </c>
      <c r="O216" s="91">
        <f>25826490-3247290</f>
        <v>22579200</v>
      </c>
      <c r="P216" s="26"/>
      <c r="Q216" s="26"/>
      <c r="R216" s="26"/>
      <c r="S216" s="29" t="s">
        <v>38</v>
      </c>
      <c r="T216" s="29" t="s">
        <v>39</v>
      </c>
      <c r="U216" s="29" t="s">
        <v>40</v>
      </c>
      <c r="V216" s="29" t="s">
        <v>405</v>
      </c>
      <c r="W216" s="29" t="s">
        <v>176</v>
      </c>
      <c r="X216" s="29" t="s">
        <v>43</v>
      </c>
      <c r="Y216" s="29" t="s">
        <v>44</v>
      </c>
      <c r="Z216" s="30" t="s">
        <v>177</v>
      </c>
      <c r="AA216" s="233" t="s">
        <v>46</v>
      </c>
    </row>
    <row r="217" spans="1:27" ht="42.75" customHeight="1" x14ac:dyDescent="0.2">
      <c r="A217" s="55" t="s">
        <v>401</v>
      </c>
      <c r="B217" s="204" t="s">
        <v>528</v>
      </c>
      <c r="C217" s="234" t="s">
        <v>531</v>
      </c>
      <c r="D217" s="234"/>
      <c r="E217" s="58"/>
      <c r="F217" s="33"/>
      <c r="G217" s="33"/>
      <c r="H217" s="60"/>
      <c r="I217" s="252"/>
      <c r="J217" s="236"/>
      <c r="K217" s="236" t="s">
        <v>506</v>
      </c>
      <c r="L217" s="94" t="s">
        <v>297</v>
      </c>
      <c r="M217" s="64">
        <f>+N217+Q217+R217</f>
        <v>45297889</v>
      </c>
      <c r="N217" s="64">
        <f>+O217+P217</f>
        <v>45297889</v>
      </c>
      <c r="O217" s="64">
        <f>42050599+3247290</f>
        <v>45297889</v>
      </c>
      <c r="P217" s="263"/>
      <c r="Q217" s="64"/>
      <c r="R217" s="64"/>
      <c r="S217" s="33"/>
      <c r="T217" s="33"/>
      <c r="U217" s="33" t="s">
        <v>75</v>
      </c>
      <c r="V217" s="33" t="s">
        <v>405</v>
      </c>
      <c r="W217" s="33" t="s">
        <v>176</v>
      </c>
      <c r="X217" s="33" t="s">
        <v>43</v>
      </c>
      <c r="Y217" s="33" t="s">
        <v>44</v>
      </c>
      <c r="Z217" s="48" t="s">
        <v>177</v>
      </c>
      <c r="AA217" s="228" t="s">
        <v>46</v>
      </c>
    </row>
    <row r="218" spans="1:27" ht="62.15" customHeight="1" x14ac:dyDescent="0.25">
      <c r="A218" s="17" t="s">
        <v>401</v>
      </c>
      <c r="B218" s="203" t="s">
        <v>532</v>
      </c>
      <c r="C218" s="229" t="s">
        <v>533</v>
      </c>
      <c r="D218" s="229"/>
      <c r="E218" s="20">
        <v>43921</v>
      </c>
      <c r="F218" s="253" t="s">
        <v>209</v>
      </c>
      <c r="G218" s="253" t="s">
        <v>33</v>
      </c>
      <c r="H218" s="50">
        <v>2</v>
      </c>
      <c r="I218" s="251" t="s">
        <v>34</v>
      </c>
      <c r="J218" s="231" t="s">
        <v>179</v>
      </c>
      <c r="K218" s="231" t="s">
        <v>506</v>
      </c>
      <c r="L218" s="89" t="s">
        <v>534</v>
      </c>
      <c r="M218" s="26">
        <f t="shared" si="5"/>
        <v>40704943</v>
      </c>
      <c r="N218" s="26">
        <f t="shared" si="6"/>
        <v>40704943</v>
      </c>
      <c r="O218" s="254">
        <f xml:space="preserve"> 26032052+9184000+3803609+1685282</f>
        <v>40704943</v>
      </c>
      <c r="P218" s="26"/>
      <c r="Q218" s="26"/>
      <c r="R218" s="26"/>
      <c r="S218" s="29" t="s">
        <v>38</v>
      </c>
      <c r="T218" s="29" t="s">
        <v>39</v>
      </c>
      <c r="U218" s="29" t="s">
        <v>40</v>
      </c>
      <c r="V218" s="29" t="s">
        <v>405</v>
      </c>
      <c r="W218" s="29" t="s">
        <v>176</v>
      </c>
      <c r="X218" s="29" t="s">
        <v>43</v>
      </c>
      <c r="Y218" s="29" t="s">
        <v>44</v>
      </c>
      <c r="Z218" s="30" t="s">
        <v>177</v>
      </c>
      <c r="AA218" s="233" t="s">
        <v>46</v>
      </c>
    </row>
    <row r="219" spans="1:27" ht="42.75" customHeight="1" x14ac:dyDescent="0.25">
      <c r="A219" s="17" t="s">
        <v>401</v>
      </c>
      <c r="B219" s="18">
        <v>42192200</v>
      </c>
      <c r="C219" s="19" t="s">
        <v>535</v>
      </c>
      <c r="D219" s="19"/>
      <c r="E219" s="20">
        <v>43921</v>
      </c>
      <c r="F219" s="21" t="s">
        <v>59</v>
      </c>
      <c r="G219" s="21" t="s">
        <v>32</v>
      </c>
      <c r="H219" s="30">
        <v>2</v>
      </c>
      <c r="I219" s="23" t="s">
        <v>34</v>
      </c>
      <c r="J219" s="19" t="s">
        <v>225</v>
      </c>
      <c r="K219" s="29" t="s">
        <v>506</v>
      </c>
      <c r="L219" s="24" t="s">
        <v>297</v>
      </c>
      <c r="M219" s="26">
        <f t="shared" si="5"/>
        <v>9300000</v>
      </c>
      <c r="N219" s="26">
        <f t="shared" si="6"/>
        <v>9300000</v>
      </c>
      <c r="O219" s="26">
        <f>8300000+2905835-1905835</f>
        <v>9300000</v>
      </c>
      <c r="P219" s="26">
        <v>0</v>
      </c>
      <c r="Q219" s="26"/>
      <c r="R219" s="26"/>
      <c r="S219" s="29" t="s">
        <v>38</v>
      </c>
      <c r="T219" s="29" t="s">
        <v>39</v>
      </c>
      <c r="U219" s="29" t="s">
        <v>40</v>
      </c>
      <c r="V219" s="29" t="s">
        <v>405</v>
      </c>
      <c r="W219" s="29" t="s">
        <v>176</v>
      </c>
      <c r="X219" s="29" t="s">
        <v>43</v>
      </c>
      <c r="Y219" s="29" t="s">
        <v>44</v>
      </c>
      <c r="Z219" s="30" t="s">
        <v>177</v>
      </c>
      <c r="AA219" s="85" t="s">
        <v>46</v>
      </c>
    </row>
    <row r="220" spans="1:27" ht="42.75" customHeight="1" x14ac:dyDescent="0.25">
      <c r="A220" s="55" t="s">
        <v>401</v>
      </c>
      <c r="B220" s="56">
        <v>42192201</v>
      </c>
      <c r="C220" s="57" t="s">
        <v>536</v>
      </c>
      <c r="D220" s="57"/>
      <c r="E220" s="58">
        <v>43922</v>
      </c>
      <c r="F220" s="76" t="s">
        <v>59</v>
      </c>
      <c r="G220" s="76" t="s">
        <v>32</v>
      </c>
      <c r="H220" s="48">
        <v>3</v>
      </c>
      <c r="I220" s="61" t="s">
        <v>34</v>
      </c>
      <c r="J220" s="57" t="s">
        <v>225</v>
      </c>
      <c r="K220" s="33" t="s">
        <v>506</v>
      </c>
      <c r="L220" s="62" t="s">
        <v>251</v>
      </c>
      <c r="M220" s="64">
        <f t="shared" si="5"/>
        <v>1905836</v>
      </c>
      <c r="N220" s="64">
        <f t="shared" si="6"/>
        <v>1905836</v>
      </c>
      <c r="O220" s="64">
        <f>8300000+2905835-9300000</f>
        <v>1905835</v>
      </c>
      <c r="P220" s="64">
        <v>1</v>
      </c>
      <c r="Q220" s="64"/>
      <c r="R220" s="64"/>
      <c r="S220" s="33" t="s">
        <v>38</v>
      </c>
      <c r="T220" s="33" t="s">
        <v>39</v>
      </c>
      <c r="U220" s="33" t="s">
        <v>75</v>
      </c>
      <c r="V220" s="33" t="s">
        <v>405</v>
      </c>
      <c r="W220" s="33" t="s">
        <v>176</v>
      </c>
      <c r="X220" s="33" t="s">
        <v>43</v>
      </c>
      <c r="Y220" s="33" t="s">
        <v>44</v>
      </c>
      <c r="Z220" s="48" t="s">
        <v>182</v>
      </c>
      <c r="AA220" s="95" t="s">
        <v>46</v>
      </c>
    </row>
    <row r="221" spans="1:27" ht="91" customHeight="1" x14ac:dyDescent="0.25">
      <c r="A221" s="17" t="s">
        <v>401</v>
      </c>
      <c r="B221" s="18" t="s">
        <v>537</v>
      </c>
      <c r="C221" s="19" t="s">
        <v>538</v>
      </c>
      <c r="D221" s="19"/>
      <c r="E221" s="264">
        <v>43921</v>
      </c>
      <c r="F221" s="21" t="s">
        <v>32</v>
      </c>
      <c r="G221" s="21" t="s">
        <v>209</v>
      </c>
      <c r="H221" s="50">
        <v>7</v>
      </c>
      <c r="I221" s="23" t="s">
        <v>34</v>
      </c>
      <c r="J221" s="19" t="s">
        <v>225</v>
      </c>
      <c r="K221" s="29" t="s">
        <v>539</v>
      </c>
      <c r="L221" s="24" t="s">
        <v>540</v>
      </c>
      <c r="M221" s="26">
        <f t="shared" si="5"/>
        <v>21000000</v>
      </c>
      <c r="N221" s="26">
        <f t="shared" si="6"/>
        <v>21000000</v>
      </c>
      <c r="O221" s="26">
        <f>10500000-6080852+5840896</f>
        <v>10260044</v>
      </c>
      <c r="P221" s="26">
        <f>9000000+1739956</f>
        <v>10739956</v>
      </c>
      <c r="Q221" s="26"/>
      <c r="R221" s="26"/>
      <c r="S221" s="29" t="s">
        <v>38</v>
      </c>
      <c r="T221" s="29" t="s">
        <v>39</v>
      </c>
      <c r="U221" s="29" t="s">
        <v>40</v>
      </c>
      <c r="V221" s="29" t="s">
        <v>405</v>
      </c>
      <c r="W221" s="29" t="s">
        <v>176</v>
      </c>
      <c r="X221" s="29" t="s">
        <v>43</v>
      </c>
      <c r="Y221" s="29" t="s">
        <v>44</v>
      </c>
      <c r="Z221" s="30" t="s">
        <v>177</v>
      </c>
      <c r="AA221" s="85" t="s">
        <v>46</v>
      </c>
    </row>
    <row r="222" spans="1:27" ht="105.5" customHeight="1" x14ac:dyDescent="0.25">
      <c r="A222" s="17" t="s">
        <v>401</v>
      </c>
      <c r="B222" s="18">
        <v>30162303</v>
      </c>
      <c r="C222" s="19" t="s">
        <v>541</v>
      </c>
      <c r="D222" s="19"/>
      <c r="E222" s="20">
        <v>43917</v>
      </c>
      <c r="F222" s="21" t="s">
        <v>542</v>
      </c>
      <c r="G222" s="21" t="s">
        <v>209</v>
      </c>
      <c r="H222" s="50">
        <v>2</v>
      </c>
      <c r="I222" s="87" t="s">
        <v>34</v>
      </c>
      <c r="J222" s="19" t="s">
        <v>225</v>
      </c>
      <c r="K222" s="29" t="s">
        <v>543</v>
      </c>
      <c r="L222" s="24" t="s">
        <v>544</v>
      </c>
      <c r="M222" s="26">
        <f t="shared" si="5"/>
        <v>5792325</v>
      </c>
      <c r="N222" s="26">
        <f t="shared" si="6"/>
        <v>5792325</v>
      </c>
      <c r="O222" s="26">
        <f>6080852-288527</f>
        <v>5792325</v>
      </c>
      <c r="P222" s="26">
        <f>9000000-9000000</f>
        <v>0</v>
      </c>
      <c r="Q222" s="26"/>
      <c r="R222" s="26"/>
      <c r="S222" s="29" t="s">
        <v>38</v>
      </c>
      <c r="T222" s="29" t="s">
        <v>39</v>
      </c>
      <c r="U222" s="29" t="s">
        <v>40</v>
      </c>
      <c r="V222" s="29" t="s">
        <v>405</v>
      </c>
      <c r="W222" s="29" t="s">
        <v>176</v>
      </c>
      <c r="X222" s="29" t="s">
        <v>43</v>
      </c>
      <c r="Y222" s="29" t="s">
        <v>44</v>
      </c>
      <c r="Z222" s="30" t="s">
        <v>177</v>
      </c>
      <c r="AA222" s="85" t="s">
        <v>46</v>
      </c>
    </row>
    <row r="223" spans="1:27" ht="77.150000000000006" customHeight="1" x14ac:dyDescent="0.25">
      <c r="A223" s="55" t="s">
        <v>401</v>
      </c>
      <c r="B223" s="56">
        <v>30162303</v>
      </c>
      <c r="C223" s="57" t="s">
        <v>545</v>
      </c>
      <c r="D223" s="57"/>
      <c r="E223" s="58"/>
      <c r="F223" s="76"/>
      <c r="G223" s="76"/>
      <c r="H223" s="60"/>
      <c r="I223" s="202"/>
      <c r="J223" s="57"/>
      <c r="K223" s="33" t="s">
        <v>543</v>
      </c>
      <c r="L223" s="62" t="s">
        <v>544</v>
      </c>
      <c r="M223" s="64">
        <f>+N223+Q223+R223</f>
        <v>288527</v>
      </c>
      <c r="N223" s="64">
        <f>+O223+P223</f>
        <v>288527</v>
      </c>
      <c r="O223" s="64">
        <f>6080852-5792325</f>
        <v>288527</v>
      </c>
      <c r="P223" s="64">
        <f>9000000-9000000</f>
        <v>0</v>
      </c>
      <c r="Q223" s="64"/>
      <c r="R223" s="64"/>
      <c r="S223" s="33"/>
      <c r="T223" s="33"/>
      <c r="U223" s="33" t="s">
        <v>75</v>
      </c>
      <c r="V223" s="33" t="s">
        <v>405</v>
      </c>
      <c r="W223" s="33" t="s">
        <v>176</v>
      </c>
      <c r="X223" s="33" t="s">
        <v>43</v>
      </c>
      <c r="Y223" s="33" t="s">
        <v>44</v>
      </c>
      <c r="Z223" s="48" t="s">
        <v>177</v>
      </c>
      <c r="AA223" s="95" t="s">
        <v>46</v>
      </c>
    </row>
    <row r="224" spans="1:27" ht="99.75" customHeight="1" x14ac:dyDescent="0.25">
      <c r="A224" s="17" t="s">
        <v>546</v>
      </c>
      <c r="B224" s="24">
        <v>82101500</v>
      </c>
      <c r="C224" s="19" t="s">
        <v>547</v>
      </c>
      <c r="D224" s="19"/>
      <c r="E224" s="20">
        <v>43868</v>
      </c>
      <c r="F224" s="265" t="s">
        <v>115</v>
      </c>
      <c r="G224" s="265" t="s">
        <v>115</v>
      </c>
      <c r="H224" s="265" t="s">
        <v>548</v>
      </c>
      <c r="I224" s="265" t="s">
        <v>34</v>
      </c>
      <c r="J224" s="19" t="s">
        <v>35</v>
      </c>
      <c r="K224" s="24" t="s">
        <v>549</v>
      </c>
      <c r="L224" s="89" t="s">
        <v>297</v>
      </c>
      <c r="M224" s="26">
        <f t="shared" si="5"/>
        <v>200000000</v>
      </c>
      <c r="N224" s="26">
        <f t="shared" si="6"/>
        <v>200000000</v>
      </c>
      <c r="O224" s="26">
        <f>192050000+7950000</f>
        <v>200000000</v>
      </c>
      <c r="P224" s="26">
        <v>0</v>
      </c>
      <c r="Q224" s="26"/>
      <c r="R224" s="26"/>
      <c r="S224" s="29" t="s">
        <v>38</v>
      </c>
      <c r="T224" s="29" t="s">
        <v>39</v>
      </c>
      <c r="U224" s="29" t="s">
        <v>40</v>
      </c>
      <c r="V224" s="29" t="s">
        <v>550</v>
      </c>
      <c r="W224" s="29" t="s">
        <v>176</v>
      </c>
      <c r="X224" s="29" t="s">
        <v>43</v>
      </c>
      <c r="Y224" s="29" t="s">
        <v>44</v>
      </c>
      <c r="Z224" s="30" t="s">
        <v>177</v>
      </c>
      <c r="AA224" s="85" t="s">
        <v>46</v>
      </c>
    </row>
    <row r="225" spans="1:27" ht="128.25" customHeight="1" x14ac:dyDescent="0.25">
      <c r="A225" s="17" t="s">
        <v>546</v>
      </c>
      <c r="B225" s="24" t="s">
        <v>551</v>
      </c>
      <c r="C225" s="19" t="s">
        <v>552</v>
      </c>
      <c r="D225" s="19"/>
      <c r="E225" s="20">
        <v>43854</v>
      </c>
      <c r="F225" s="265" t="s">
        <v>115</v>
      </c>
      <c r="G225" s="265" t="s">
        <v>91</v>
      </c>
      <c r="H225" s="265" t="s">
        <v>553</v>
      </c>
      <c r="I225" s="265" t="s">
        <v>34</v>
      </c>
      <c r="J225" s="19" t="s">
        <v>151</v>
      </c>
      <c r="K225" s="24" t="s">
        <v>554</v>
      </c>
      <c r="L225" s="89" t="s">
        <v>37</v>
      </c>
      <c r="M225" s="26">
        <f t="shared" si="5"/>
        <v>1882206115</v>
      </c>
      <c r="N225" s="26">
        <f t="shared" si="6"/>
        <v>1882206115</v>
      </c>
      <c r="O225" s="26">
        <f>2000000000-117793885</f>
        <v>1882206115</v>
      </c>
      <c r="P225" s="26">
        <v>0</v>
      </c>
      <c r="Q225" s="26"/>
      <c r="R225" s="26"/>
      <c r="S225" s="29" t="s">
        <v>38</v>
      </c>
      <c r="T225" s="29" t="s">
        <v>39</v>
      </c>
      <c r="U225" s="29" t="s">
        <v>40</v>
      </c>
      <c r="V225" s="29" t="s">
        <v>550</v>
      </c>
      <c r="W225" s="29" t="s">
        <v>176</v>
      </c>
      <c r="X225" s="29" t="s">
        <v>43</v>
      </c>
      <c r="Y225" s="29" t="s">
        <v>44</v>
      </c>
      <c r="Z225" s="30" t="s">
        <v>177</v>
      </c>
      <c r="AA225" s="85" t="s">
        <v>46</v>
      </c>
    </row>
    <row r="226" spans="1:27" ht="128.25" customHeight="1" x14ac:dyDescent="0.25">
      <c r="A226" s="55" t="s">
        <v>546</v>
      </c>
      <c r="B226" s="62" t="s">
        <v>551</v>
      </c>
      <c r="C226" s="57" t="s">
        <v>555</v>
      </c>
      <c r="D226" s="57"/>
      <c r="E226" s="58"/>
      <c r="F226" s="266"/>
      <c r="G226" s="266"/>
      <c r="H226" s="266"/>
      <c r="I226" s="266"/>
      <c r="J226" s="57"/>
      <c r="K226" s="62" t="s">
        <v>554</v>
      </c>
      <c r="L226" s="94" t="s">
        <v>37</v>
      </c>
      <c r="M226" s="64">
        <f t="shared" si="5"/>
        <v>117793855</v>
      </c>
      <c r="N226" s="64">
        <f t="shared" si="6"/>
        <v>117793855</v>
      </c>
      <c r="O226" s="64">
        <f>2000000000-1882206145</f>
        <v>117793855</v>
      </c>
      <c r="P226" s="64">
        <v>0</v>
      </c>
      <c r="Q226" s="64"/>
      <c r="R226" s="64"/>
      <c r="S226" s="33"/>
      <c r="T226" s="33"/>
      <c r="U226" s="33" t="s">
        <v>75</v>
      </c>
      <c r="V226" s="33" t="s">
        <v>550</v>
      </c>
      <c r="W226" s="33" t="s">
        <v>176</v>
      </c>
      <c r="X226" s="33" t="s">
        <v>43</v>
      </c>
      <c r="Y226" s="33" t="s">
        <v>44</v>
      </c>
      <c r="Z226" s="48" t="s">
        <v>177</v>
      </c>
      <c r="AA226" s="95" t="s">
        <v>46</v>
      </c>
    </row>
    <row r="227" spans="1:27" ht="71.25" customHeight="1" x14ac:dyDescent="0.25">
      <c r="A227" s="17" t="s">
        <v>546</v>
      </c>
      <c r="B227" s="24">
        <v>83121700</v>
      </c>
      <c r="C227" s="19" t="s">
        <v>556</v>
      </c>
      <c r="D227" s="19"/>
      <c r="E227" s="20">
        <v>43854</v>
      </c>
      <c r="F227" s="265" t="s">
        <v>91</v>
      </c>
      <c r="G227" s="265" t="s">
        <v>59</v>
      </c>
      <c r="H227" s="265" t="s">
        <v>557</v>
      </c>
      <c r="I227" s="265" t="s">
        <v>34</v>
      </c>
      <c r="J227" s="19" t="s">
        <v>249</v>
      </c>
      <c r="K227" s="24" t="s">
        <v>554</v>
      </c>
      <c r="L227" s="89" t="s">
        <v>37</v>
      </c>
      <c r="M227" s="26">
        <f t="shared" si="5"/>
        <v>42677367</v>
      </c>
      <c r="N227" s="26">
        <f t="shared" si="6"/>
        <v>42677367</v>
      </c>
      <c r="O227" s="26">
        <f>86000000-43322633</f>
        <v>42677367</v>
      </c>
      <c r="P227" s="26">
        <v>0</v>
      </c>
      <c r="Q227" s="26"/>
      <c r="R227" s="26"/>
      <c r="S227" s="29" t="s">
        <v>38</v>
      </c>
      <c r="T227" s="29" t="s">
        <v>39</v>
      </c>
      <c r="U227" s="29" t="s">
        <v>40</v>
      </c>
      <c r="V227" s="29" t="s">
        <v>550</v>
      </c>
      <c r="W227" s="29" t="s">
        <v>176</v>
      </c>
      <c r="X227" s="29" t="s">
        <v>43</v>
      </c>
      <c r="Y227" s="29" t="s">
        <v>44</v>
      </c>
      <c r="Z227" s="30" t="s">
        <v>177</v>
      </c>
      <c r="AA227" s="85" t="s">
        <v>46</v>
      </c>
    </row>
    <row r="228" spans="1:27" ht="71.25" customHeight="1" x14ac:dyDescent="0.25">
      <c r="A228" s="55" t="s">
        <v>546</v>
      </c>
      <c r="B228" s="62">
        <v>83121701</v>
      </c>
      <c r="C228" s="57" t="s">
        <v>558</v>
      </c>
      <c r="D228" s="57"/>
      <c r="E228" s="58"/>
      <c r="F228" s="266"/>
      <c r="G228" s="266"/>
      <c r="H228" s="266"/>
      <c r="I228" s="266"/>
      <c r="J228" s="57"/>
      <c r="K228" s="62" t="s">
        <v>554</v>
      </c>
      <c r="L228" s="94" t="s">
        <v>117</v>
      </c>
      <c r="M228" s="64">
        <f>+N228+Q228+R228</f>
        <v>43322633</v>
      </c>
      <c r="N228" s="64">
        <f t="shared" si="6"/>
        <v>43322633</v>
      </c>
      <c r="O228" s="64">
        <f>86000000-42677367</f>
        <v>43322633</v>
      </c>
      <c r="P228" s="64">
        <v>0</v>
      </c>
      <c r="Q228" s="64"/>
      <c r="R228" s="64"/>
      <c r="S228" s="33"/>
      <c r="T228" s="33"/>
      <c r="U228" s="33" t="s">
        <v>75</v>
      </c>
      <c r="V228" s="33" t="s">
        <v>550</v>
      </c>
      <c r="W228" s="33" t="s">
        <v>176</v>
      </c>
      <c r="X228" s="33" t="s">
        <v>43</v>
      </c>
      <c r="Y228" s="33" t="s">
        <v>44</v>
      </c>
      <c r="Z228" s="48" t="s">
        <v>182</v>
      </c>
      <c r="AA228" s="95" t="s">
        <v>46</v>
      </c>
    </row>
    <row r="229" spans="1:27" ht="85.5" customHeight="1" x14ac:dyDescent="0.25">
      <c r="A229" s="181" t="s">
        <v>546</v>
      </c>
      <c r="B229" s="62" t="s">
        <v>559</v>
      </c>
      <c r="C229" s="182" t="s">
        <v>150</v>
      </c>
      <c r="D229" s="57"/>
      <c r="E229" s="135">
        <v>43889</v>
      </c>
      <c r="F229" s="33" t="s">
        <v>115</v>
      </c>
      <c r="G229" s="73" t="s">
        <v>59</v>
      </c>
      <c r="H229" s="67">
        <v>8</v>
      </c>
      <c r="I229" s="33" t="s">
        <v>34</v>
      </c>
      <c r="J229" s="182" t="s">
        <v>151</v>
      </c>
      <c r="K229" s="62" t="s">
        <v>560</v>
      </c>
      <c r="L229" s="94" t="s">
        <v>37</v>
      </c>
      <c r="M229" s="99">
        <f t="shared" si="5"/>
        <v>125000000</v>
      </c>
      <c r="N229" s="99">
        <f t="shared" si="6"/>
        <v>125000000</v>
      </c>
      <c r="O229" s="99">
        <v>125000000</v>
      </c>
      <c r="P229" s="99">
        <v>0</v>
      </c>
      <c r="Q229" s="99"/>
      <c r="R229" s="99"/>
      <c r="S229" s="183" t="s">
        <v>38</v>
      </c>
      <c r="T229" s="183" t="s">
        <v>39</v>
      </c>
      <c r="U229" s="183" t="s">
        <v>75</v>
      </c>
      <c r="V229" s="183" t="s">
        <v>550</v>
      </c>
      <c r="W229" s="183" t="s">
        <v>176</v>
      </c>
      <c r="X229" s="183" t="s">
        <v>43</v>
      </c>
      <c r="Y229" s="183" t="s">
        <v>44</v>
      </c>
      <c r="Z229" s="184" t="s">
        <v>177</v>
      </c>
      <c r="AA229" s="185" t="s">
        <v>46</v>
      </c>
    </row>
    <row r="230" spans="1:27" ht="57" customHeight="1" x14ac:dyDescent="0.25">
      <c r="A230" s="55" t="s">
        <v>561</v>
      </c>
      <c r="B230" s="56">
        <v>82111902</v>
      </c>
      <c r="C230" s="57" t="s">
        <v>562</v>
      </c>
      <c r="D230" s="57"/>
      <c r="E230" s="58">
        <v>44104</v>
      </c>
      <c r="F230" s="76" t="s">
        <v>71</v>
      </c>
      <c r="G230" s="76" t="s">
        <v>223</v>
      </c>
      <c r="H230" s="60">
        <v>1</v>
      </c>
      <c r="I230" s="202" t="s">
        <v>34</v>
      </c>
      <c r="J230" s="57" t="s">
        <v>225</v>
      </c>
      <c r="K230" s="33" t="s">
        <v>563</v>
      </c>
      <c r="L230" s="62" t="s">
        <v>297</v>
      </c>
      <c r="M230" s="64">
        <f t="shared" si="5"/>
        <v>12121800</v>
      </c>
      <c r="N230" s="64">
        <f t="shared" si="6"/>
        <v>12121800</v>
      </c>
      <c r="O230" s="64">
        <f>2121800+10000000</f>
        <v>12121800</v>
      </c>
      <c r="P230" s="64">
        <v>0</v>
      </c>
      <c r="Q230" s="64"/>
      <c r="R230" s="64"/>
      <c r="S230" s="33" t="s">
        <v>38</v>
      </c>
      <c r="T230" s="33" t="s">
        <v>39</v>
      </c>
      <c r="U230" s="33"/>
      <c r="V230" s="33" t="s">
        <v>564</v>
      </c>
      <c r="W230" s="33" t="s">
        <v>176</v>
      </c>
      <c r="X230" s="33" t="s">
        <v>565</v>
      </c>
      <c r="Y230" s="33" t="s">
        <v>44</v>
      </c>
      <c r="Z230" s="48" t="s">
        <v>566</v>
      </c>
      <c r="AA230" s="95" t="s">
        <v>46</v>
      </c>
    </row>
    <row r="231" spans="1:27" ht="57" customHeight="1" x14ac:dyDescent="0.25">
      <c r="A231" s="55" t="s">
        <v>561</v>
      </c>
      <c r="B231" s="56">
        <v>86101705</v>
      </c>
      <c r="C231" s="57" t="s">
        <v>567</v>
      </c>
      <c r="D231" s="57"/>
      <c r="E231" s="58">
        <v>43889</v>
      </c>
      <c r="F231" s="33" t="s">
        <v>115</v>
      </c>
      <c r="G231" s="59" t="s">
        <v>59</v>
      </c>
      <c r="H231" s="67">
        <v>8</v>
      </c>
      <c r="I231" s="33" t="s">
        <v>34</v>
      </c>
      <c r="J231" s="57" t="s">
        <v>151</v>
      </c>
      <c r="K231" s="33" t="s">
        <v>568</v>
      </c>
      <c r="L231" s="62" t="s">
        <v>37</v>
      </c>
      <c r="M231" s="64">
        <f t="shared" si="5"/>
        <v>6962509</v>
      </c>
      <c r="N231" s="64">
        <f t="shared" si="6"/>
        <v>6962509</v>
      </c>
      <c r="O231" s="64">
        <f>65000000-58037491</f>
        <v>6962509</v>
      </c>
      <c r="P231" s="64">
        <v>0</v>
      </c>
      <c r="Q231" s="64"/>
      <c r="R231" s="64"/>
      <c r="S231" s="33" t="s">
        <v>38</v>
      </c>
      <c r="T231" s="33" t="s">
        <v>39</v>
      </c>
      <c r="U231" s="33" t="s">
        <v>75</v>
      </c>
      <c r="V231" s="33" t="s">
        <v>564</v>
      </c>
      <c r="W231" s="33" t="s">
        <v>176</v>
      </c>
      <c r="X231" s="33" t="s">
        <v>565</v>
      </c>
      <c r="Y231" s="33" t="s">
        <v>44</v>
      </c>
      <c r="Z231" s="48" t="s">
        <v>566</v>
      </c>
      <c r="AA231" s="95" t="s">
        <v>46</v>
      </c>
    </row>
    <row r="232" spans="1:27" ht="89" customHeight="1" x14ac:dyDescent="0.25">
      <c r="A232" s="17" t="s">
        <v>561</v>
      </c>
      <c r="B232" s="18" t="s">
        <v>569</v>
      </c>
      <c r="C232" s="19" t="s">
        <v>570</v>
      </c>
      <c r="D232" s="19"/>
      <c r="E232" s="20">
        <v>44057</v>
      </c>
      <c r="F232" s="29" t="s">
        <v>50</v>
      </c>
      <c r="G232" s="29" t="s">
        <v>50</v>
      </c>
      <c r="H232" s="50">
        <v>112</v>
      </c>
      <c r="I232" s="23" t="s">
        <v>571</v>
      </c>
      <c r="J232" s="19" t="s">
        <v>35</v>
      </c>
      <c r="K232" s="29" t="s">
        <v>572</v>
      </c>
      <c r="L232" s="24" t="s">
        <v>37</v>
      </c>
      <c r="M232" s="26">
        <f t="shared" si="5"/>
        <v>58037491</v>
      </c>
      <c r="N232" s="26">
        <f t="shared" si="6"/>
        <v>58037491</v>
      </c>
      <c r="O232" s="26">
        <v>58037491</v>
      </c>
      <c r="P232" s="26">
        <v>0</v>
      </c>
      <c r="Q232" s="26"/>
      <c r="R232" s="26"/>
      <c r="S232" s="29" t="s">
        <v>38</v>
      </c>
      <c r="T232" s="29" t="s">
        <v>39</v>
      </c>
      <c r="U232" s="29" t="s">
        <v>40</v>
      </c>
      <c r="V232" s="29" t="s">
        <v>564</v>
      </c>
      <c r="W232" s="29" t="s">
        <v>176</v>
      </c>
      <c r="X232" s="29" t="s">
        <v>565</v>
      </c>
      <c r="Y232" s="29" t="s">
        <v>44</v>
      </c>
      <c r="Z232" s="30" t="s">
        <v>566</v>
      </c>
      <c r="AA232" s="85" t="s">
        <v>46</v>
      </c>
    </row>
    <row r="233" spans="1:27" ht="85.5" customHeight="1" x14ac:dyDescent="0.25">
      <c r="A233" s="17" t="s">
        <v>561</v>
      </c>
      <c r="B233" s="18">
        <v>80120000</v>
      </c>
      <c r="C233" s="19" t="s">
        <v>573</v>
      </c>
      <c r="D233" s="19"/>
      <c r="E233" s="20">
        <v>43889</v>
      </c>
      <c r="F233" s="29" t="s">
        <v>115</v>
      </c>
      <c r="G233" s="29" t="s">
        <v>115</v>
      </c>
      <c r="H233" s="50">
        <v>6</v>
      </c>
      <c r="I233" s="23" t="s">
        <v>34</v>
      </c>
      <c r="J233" s="19" t="s">
        <v>35</v>
      </c>
      <c r="K233" s="29" t="s">
        <v>572</v>
      </c>
      <c r="L233" s="24" t="s">
        <v>37</v>
      </c>
      <c r="M233" s="26">
        <f t="shared" si="5"/>
        <v>76365120</v>
      </c>
      <c r="N233" s="26">
        <f t="shared" si="6"/>
        <v>76365120</v>
      </c>
      <c r="O233" s="26">
        <v>76365120</v>
      </c>
      <c r="P233" s="26">
        <v>0</v>
      </c>
      <c r="Q233" s="26"/>
      <c r="R233" s="26"/>
      <c r="S233" s="29" t="s">
        <v>38</v>
      </c>
      <c r="T233" s="29" t="s">
        <v>39</v>
      </c>
      <c r="U233" s="29" t="s">
        <v>40</v>
      </c>
      <c r="V233" s="29" t="s">
        <v>564</v>
      </c>
      <c r="W233" s="29" t="s">
        <v>176</v>
      </c>
      <c r="X233" s="29" t="s">
        <v>565</v>
      </c>
      <c r="Y233" s="29" t="s">
        <v>44</v>
      </c>
      <c r="Z233" s="30" t="s">
        <v>566</v>
      </c>
      <c r="AA233" s="85" t="s">
        <v>46</v>
      </c>
    </row>
    <row r="234" spans="1:27" ht="119" customHeight="1" x14ac:dyDescent="0.25">
      <c r="A234" s="267" t="s">
        <v>574</v>
      </c>
      <c r="B234" s="268" t="s">
        <v>345</v>
      </c>
      <c r="C234" s="269" t="s">
        <v>150</v>
      </c>
      <c r="D234" s="269"/>
      <c r="E234" s="270">
        <v>43889</v>
      </c>
      <c r="F234" s="271" t="s">
        <v>115</v>
      </c>
      <c r="G234" s="272" t="s">
        <v>59</v>
      </c>
      <c r="H234" s="273">
        <v>8</v>
      </c>
      <c r="I234" s="271" t="s">
        <v>34</v>
      </c>
      <c r="J234" s="269" t="s">
        <v>151</v>
      </c>
      <c r="K234" s="268" t="s">
        <v>575</v>
      </c>
      <c r="L234" s="274" t="s">
        <v>576</v>
      </c>
      <c r="M234" s="275">
        <f t="shared" si="5"/>
        <v>121021150</v>
      </c>
      <c r="N234" s="275">
        <f t="shared" si="6"/>
        <v>121021150</v>
      </c>
      <c r="O234" s="275">
        <f>77976150+53045000-10000000</f>
        <v>121021150</v>
      </c>
      <c r="P234" s="275"/>
      <c r="Q234" s="275"/>
      <c r="R234" s="275"/>
      <c r="S234" s="271" t="s">
        <v>38</v>
      </c>
      <c r="T234" s="271" t="s">
        <v>39</v>
      </c>
      <c r="U234" s="271" t="s">
        <v>75</v>
      </c>
      <c r="V234" s="271" t="s">
        <v>577</v>
      </c>
      <c r="W234" s="271" t="s">
        <v>578</v>
      </c>
      <c r="X234" s="271" t="s">
        <v>579</v>
      </c>
      <c r="Y234" s="271" t="s">
        <v>44</v>
      </c>
      <c r="Z234" s="276" t="s">
        <v>177</v>
      </c>
      <c r="AA234" s="277" t="s">
        <v>46</v>
      </c>
    </row>
    <row r="235" spans="1:27" x14ac:dyDescent="0.25">
      <c r="A235" s="278"/>
      <c r="B235" s="279"/>
      <c r="C235" s="280"/>
      <c r="D235" s="279"/>
      <c r="E235" s="279"/>
      <c r="F235" s="279"/>
      <c r="G235" s="279"/>
      <c r="H235" s="279"/>
      <c r="I235" s="279"/>
      <c r="J235" s="279"/>
      <c r="K235" s="280"/>
      <c r="L235" s="281">
        <f>SUM(L6:L234)</f>
        <v>0</v>
      </c>
      <c r="M235" s="281"/>
      <c r="N235" s="282">
        <f>SUM(N6:N234)</f>
        <v>140417769171.16595</v>
      </c>
      <c r="O235" s="282">
        <f>SUM(O6:O234)</f>
        <v>54594592459.615967</v>
      </c>
      <c r="P235" s="282">
        <f>SUM(P6:P234)</f>
        <v>85722618924.550003</v>
      </c>
      <c r="Q235" s="282">
        <f>SUM(Q6:Q234)</f>
        <v>37364629408</v>
      </c>
      <c r="R235" s="279"/>
      <c r="S235" s="280"/>
      <c r="T235" s="280"/>
      <c r="U235" s="280"/>
      <c r="V235" s="279"/>
      <c r="W235" s="280"/>
      <c r="X235" s="280"/>
      <c r="Y235" s="279"/>
      <c r="Z235" s="280"/>
      <c r="AA235" s="283"/>
    </row>
    <row r="236" spans="1:27" x14ac:dyDescent="0.25">
      <c r="A236" s="278"/>
      <c r="B236" s="279"/>
      <c r="C236" s="280"/>
      <c r="D236" s="284"/>
      <c r="E236" s="284"/>
      <c r="F236" s="284"/>
      <c r="G236" s="284"/>
      <c r="H236" s="284"/>
      <c r="I236" s="284"/>
      <c r="J236" s="284"/>
      <c r="K236" s="285"/>
      <c r="L236" s="281"/>
      <c r="M236" s="281"/>
      <c r="N236" s="280"/>
      <c r="O236" s="280"/>
      <c r="P236" s="279"/>
      <c r="Q236" s="279"/>
      <c r="R236" s="279"/>
      <c r="S236" s="280"/>
      <c r="T236" s="280"/>
      <c r="U236" s="280"/>
      <c r="V236" s="279"/>
      <c r="W236" s="280"/>
      <c r="X236" s="280"/>
      <c r="Y236" s="279"/>
      <c r="Z236" s="280"/>
      <c r="AA236" s="283"/>
    </row>
    <row r="237" spans="1:27" ht="14.5" x14ac:dyDescent="0.25">
      <c r="A237" s="278"/>
      <c r="B237" s="279"/>
      <c r="C237" s="286"/>
      <c r="D237" s="284"/>
      <c r="E237" s="284"/>
      <c r="F237" s="284"/>
      <c r="G237" s="284"/>
      <c r="H237" s="284"/>
      <c r="I237" s="284"/>
      <c r="J237" s="284"/>
      <c r="K237" s="285"/>
      <c r="L237" s="281"/>
      <c r="M237" s="281"/>
      <c r="N237" s="280"/>
      <c r="O237" s="287">
        <v>865194920</v>
      </c>
      <c r="P237" s="288"/>
      <c r="Q237" s="279"/>
      <c r="R237" s="279"/>
      <c r="S237" s="280"/>
      <c r="T237" s="280"/>
      <c r="U237" s="280"/>
      <c r="V237" s="279"/>
      <c r="W237" s="280"/>
      <c r="X237" s="280"/>
      <c r="Y237" s="279"/>
      <c r="Z237" s="280"/>
      <c r="AA237" s="283"/>
    </row>
    <row r="238" spans="1:27" ht="31" x14ac:dyDescent="0.7">
      <c r="A238" s="278"/>
      <c r="B238" s="279"/>
      <c r="C238" s="280"/>
      <c r="D238" s="284"/>
      <c r="E238" s="289"/>
      <c r="F238" s="284"/>
      <c r="G238" s="290"/>
      <c r="H238" s="284"/>
      <c r="I238" s="284"/>
      <c r="J238" s="291"/>
      <c r="K238" s="285"/>
      <c r="L238" s="281"/>
      <c r="M238" s="281"/>
      <c r="N238" s="280"/>
      <c r="O238" s="292">
        <f>O237-O28</f>
        <v>559119960</v>
      </c>
      <c r="P238" s="279"/>
      <c r="Q238" s="279"/>
      <c r="R238" s="279"/>
      <c r="S238" s="280"/>
      <c r="T238" s="280"/>
      <c r="U238" s="280"/>
      <c r="V238" s="279"/>
      <c r="W238" s="280"/>
      <c r="X238" s="280"/>
      <c r="Y238" s="279"/>
      <c r="Z238" s="280"/>
      <c r="AA238" s="283"/>
    </row>
    <row r="239" spans="1:27" ht="31" x14ac:dyDescent="0.7">
      <c r="A239" s="278"/>
      <c r="B239" s="279"/>
      <c r="C239" s="280"/>
      <c r="D239" s="284"/>
      <c r="E239" s="289"/>
      <c r="F239" s="284"/>
      <c r="G239" s="290"/>
      <c r="H239" s="284"/>
      <c r="I239" s="284"/>
      <c r="J239" s="291"/>
      <c r="K239" s="285"/>
      <c r="L239" s="281"/>
      <c r="M239" s="281"/>
      <c r="N239" s="280"/>
      <c r="O239" s="293"/>
      <c r="P239" s="288"/>
      <c r="Q239" s="279"/>
      <c r="R239" s="279"/>
      <c r="S239" s="280"/>
      <c r="T239" s="280"/>
      <c r="U239" s="280"/>
      <c r="V239" s="279"/>
      <c r="W239" s="280"/>
      <c r="X239" s="280"/>
      <c r="Y239" s="279"/>
      <c r="Z239" s="280"/>
      <c r="AA239" s="283"/>
    </row>
    <row r="240" spans="1:27" x14ac:dyDescent="0.25">
      <c r="A240" s="278"/>
      <c r="B240" s="279"/>
      <c r="C240" s="280"/>
      <c r="D240" s="279"/>
      <c r="E240" s="279"/>
      <c r="F240" s="279"/>
      <c r="G240" s="279"/>
      <c r="H240" s="279"/>
      <c r="I240" s="279"/>
      <c r="J240" s="279"/>
      <c r="K240" s="280"/>
      <c r="L240" s="281"/>
      <c r="M240" s="281"/>
      <c r="N240" s="280"/>
      <c r="O240" s="280"/>
      <c r="P240" s="279"/>
      <c r="Q240" s="279"/>
      <c r="R240" s="279"/>
      <c r="S240" s="280"/>
      <c r="T240" s="280"/>
      <c r="U240" s="280"/>
      <c r="V240" s="279"/>
      <c r="W240" s="280"/>
      <c r="X240" s="280"/>
      <c r="Y240" s="279"/>
      <c r="Z240" s="280"/>
      <c r="AA240" s="283"/>
    </row>
    <row r="241" spans="1:27" x14ac:dyDescent="0.25">
      <c r="A241" s="278"/>
      <c r="B241" s="279"/>
      <c r="C241" s="280"/>
      <c r="D241" s="279"/>
      <c r="E241" s="279"/>
      <c r="F241" s="279"/>
      <c r="G241" s="279"/>
      <c r="H241" s="279"/>
      <c r="I241" s="279"/>
      <c r="J241" s="279"/>
      <c r="K241" s="280"/>
      <c r="L241" s="281"/>
      <c r="M241" s="281"/>
      <c r="N241" s="280"/>
      <c r="O241" s="294"/>
      <c r="P241" s="279"/>
      <c r="Q241" s="279"/>
      <c r="R241" s="279"/>
      <c r="S241" s="280"/>
      <c r="T241" s="280"/>
      <c r="U241" s="280"/>
      <c r="V241" s="279"/>
      <c r="W241" s="280"/>
      <c r="X241" s="280"/>
      <c r="Y241" s="279"/>
      <c r="Z241" s="280"/>
      <c r="AA241" s="283"/>
    </row>
    <row r="242" spans="1:27" x14ac:dyDescent="0.25">
      <c r="A242" s="278"/>
      <c r="B242" s="279"/>
      <c r="C242" s="280"/>
      <c r="D242" s="279"/>
      <c r="E242" s="279"/>
      <c r="F242" s="279"/>
      <c r="G242" s="279"/>
      <c r="H242" s="279"/>
      <c r="I242" s="279"/>
      <c r="J242" s="279"/>
      <c r="K242" s="280"/>
      <c r="L242" s="281"/>
      <c r="M242" s="281"/>
      <c r="N242" s="280"/>
      <c r="O242" s="280"/>
      <c r="P242" s="279"/>
      <c r="Q242" s="279"/>
      <c r="R242" s="279"/>
      <c r="S242" s="280"/>
      <c r="T242" s="280"/>
      <c r="U242" s="280"/>
      <c r="V242" s="279"/>
      <c r="W242" s="280"/>
      <c r="X242" s="280"/>
      <c r="Y242" s="279"/>
      <c r="Z242" s="280"/>
      <c r="AA242" s="283"/>
    </row>
    <row r="243" spans="1:27" x14ac:dyDescent="0.25">
      <c r="A243" s="278"/>
      <c r="B243" s="279"/>
      <c r="C243" s="280"/>
      <c r="D243" s="279"/>
      <c r="E243" s="279"/>
      <c r="F243" s="279"/>
      <c r="G243" s="279"/>
      <c r="H243" s="279"/>
      <c r="I243" s="279"/>
      <c r="J243" s="279"/>
      <c r="K243" s="280"/>
      <c r="L243" s="281"/>
      <c r="M243" s="281"/>
      <c r="N243" s="280"/>
      <c r="O243" s="280"/>
      <c r="P243" s="279"/>
      <c r="Q243" s="279"/>
      <c r="R243" s="279"/>
      <c r="S243" s="280"/>
      <c r="T243" s="280"/>
      <c r="U243" s="280"/>
      <c r="V243" s="279"/>
      <c r="W243" s="280"/>
      <c r="X243" s="280"/>
      <c r="Y243" s="279"/>
      <c r="Z243" s="280"/>
      <c r="AA243" s="283"/>
    </row>
    <row r="244" spans="1:27" x14ac:dyDescent="0.25">
      <c r="A244" s="278"/>
      <c r="B244" s="279"/>
      <c r="C244" s="280"/>
      <c r="D244" s="279"/>
      <c r="E244" s="279"/>
      <c r="F244" s="279"/>
      <c r="G244" s="279"/>
      <c r="H244" s="279"/>
      <c r="I244" s="279"/>
      <c r="J244" s="279"/>
      <c r="K244" s="280"/>
      <c r="L244" s="281"/>
      <c r="M244" s="281"/>
      <c r="N244" s="280"/>
      <c r="O244" s="280"/>
      <c r="P244" s="279"/>
      <c r="Q244" s="279"/>
      <c r="R244" s="279"/>
      <c r="S244" s="280"/>
      <c r="T244" s="280"/>
      <c r="U244" s="280"/>
      <c r="V244" s="279"/>
      <c r="W244" s="280"/>
      <c r="X244" s="280"/>
      <c r="Y244" s="279"/>
      <c r="Z244" s="280"/>
      <c r="AA244" s="283"/>
    </row>
    <row r="245" spans="1:27" x14ac:dyDescent="0.25">
      <c r="A245" s="278"/>
      <c r="B245" s="279"/>
      <c r="C245" s="280"/>
      <c r="D245" s="279"/>
      <c r="E245" s="279"/>
      <c r="F245" s="279"/>
      <c r="G245" s="279"/>
      <c r="H245" s="279"/>
      <c r="I245" s="279"/>
      <c r="J245" s="279"/>
      <c r="K245" s="280"/>
      <c r="L245" s="281"/>
      <c r="M245" s="281"/>
      <c r="N245" s="280"/>
      <c r="O245" s="280"/>
      <c r="P245" s="279"/>
      <c r="Q245" s="279"/>
      <c r="R245" s="279"/>
      <c r="S245" s="280"/>
      <c r="T245" s="280"/>
      <c r="U245" s="280"/>
      <c r="V245" s="279"/>
      <c r="W245" s="280"/>
      <c r="X245" s="280"/>
      <c r="Y245" s="279"/>
      <c r="Z245" s="280"/>
      <c r="AA245" s="283"/>
    </row>
  </sheetData>
  <sheetProtection formatCells="0" formatColumns="0" formatRows="0" insertColumns="0" insertRows="0" insertHyperlinks="0" sort="0" autoFilter="0" pivotTables="0"/>
  <dataValidations count="2">
    <dataValidation type="list" allowBlank="1" showInputMessage="1" showErrorMessage="1" sqref="J150" xr:uid="{46790563-79F4-42D8-B13F-A04178DC5B85}">
      <formula1>#N/A</formula1>
    </dataValidation>
    <dataValidation allowBlank="1" showInputMessage="1" showErrorMessage="1" prompt="Describa cómo debe quedar la línea del PAA." sqref="B24:B25" xr:uid="{0BDD8C8E-AAE3-4141-8DD4-42B88C167C2C}"/>
  </dataValidations>
  <hyperlinks>
    <hyperlink ref="AA6" r:id="rId1" xr:uid="{DFFE6572-FD2D-4C67-A952-FA6B675758EA}"/>
    <hyperlink ref="AA9:AA33" r:id="rId2" display="javiermosquera@reincorporacion.gov.co" xr:uid="{89BDFC96-8915-4E96-8447-9D4F1E9DE14B}"/>
    <hyperlink ref="AA22:AA33" r:id="rId3" display="javiermosquera@reincorporacion.gov.co" xr:uid="{FED62005-5F7F-4A2C-9D2B-FB9B4896BBD7}"/>
    <hyperlink ref="AA30" r:id="rId4" xr:uid="{E5BC8EFE-C336-4122-8110-A89FE6234C9F}"/>
    <hyperlink ref="AA80" r:id="rId5" xr:uid="{D8BA0928-0F5D-43ED-9D1B-29F93AA49E54}"/>
    <hyperlink ref="AA81" r:id="rId6" xr:uid="{1753AEE1-49ED-4833-B8FA-1318867B44BB}"/>
    <hyperlink ref="AA83" r:id="rId7" xr:uid="{61E11FD8-3615-4538-891D-1A09AF7C952E}"/>
    <hyperlink ref="AA85" r:id="rId8" xr:uid="{D96E216B-FEA5-4BFC-A2F2-047596C783A6}"/>
    <hyperlink ref="AA87" r:id="rId9" xr:uid="{80195DF7-5FA3-4531-B7FE-219C5C44D0E7}"/>
    <hyperlink ref="AA88" r:id="rId10" xr:uid="{4B9DDC50-9BB3-47F5-8936-091BCC2CA3EB}"/>
    <hyperlink ref="AA89" r:id="rId11" xr:uid="{4FF978BB-7F81-4781-8CEB-848421A9683B}"/>
    <hyperlink ref="AA90" r:id="rId12" xr:uid="{1AC4C24B-8134-4B50-A371-ADF80070243F}"/>
    <hyperlink ref="AA91" r:id="rId13" xr:uid="{AD074FDF-777A-4EEB-A5DA-E585DEDA2B8C}"/>
    <hyperlink ref="AA96" r:id="rId14" xr:uid="{D776A4DD-9C52-48D7-864C-4D66923253E2}"/>
    <hyperlink ref="AA98" r:id="rId15" xr:uid="{AA02E5B9-C093-46EF-B0B5-ABB73C7851C2}"/>
    <hyperlink ref="AA109" r:id="rId16" xr:uid="{27CBF2A6-EAE3-4018-A988-03FC81F0B8F3}"/>
    <hyperlink ref="AA110" r:id="rId17" xr:uid="{E4C21D25-C9D0-4206-B7DD-5AD3EE0D5A44}"/>
    <hyperlink ref="AA111:AA115" r:id="rId18" display="javiermosquera@reincorporacion.gov.co" xr:uid="{E9372EEB-B77F-416E-94D8-7761CB6FE7FA}"/>
    <hyperlink ref="AA116" r:id="rId19" xr:uid="{BE9E5BBC-43C8-4282-878D-969C82390EF2}"/>
    <hyperlink ref="AA117" r:id="rId20" xr:uid="{85817BB9-82A1-4C62-A5EE-4680A188CBA5}"/>
    <hyperlink ref="AA230" r:id="rId21" xr:uid="{0F175697-26FF-487F-89A5-01DEDFF5E2FD}"/>
    <hyperlink ref="AA231:AA233" r:id="rId22" display="javiermosquera@reincorporacion.gov.co" xr:uid="{D939D55F-8B7C-4556-8E9D-BD5168DA0201}"/>
    <hyperlink ref="AA233" r:id="rId23" xr:uid="{2CBF5713-17C3-4815-9659-3B1458B1A706}"/>
    <hyperlink ref="AA234" r:id="rId24" xr:uid="{A7733037-296E-4567-B023-471C9B863578}"/>
    <hyperlink ref="AA62" r:id="rId25" xr:uid="{9DCE1175-39A3-4F42-83B0-081F954C8C41}"/>
    <hyperlink ref="AA77" r:id="rId26" xr:uid="{862C801A-9B81-4A01-A948-4AEAB4CBB1BC}"/>
    <hyperlink ref="AA59" r:id="rId27" xr:uid="{8EC32185-482C-4754-A84F-8FDF6D6D6A11}"/>
    <hyperlink ref="AA58" r:id="rId28" xr:uid="{88825592-BF30-43E0-8D00-74CB8BE8C07C}"/>
    <hyperlink ref="AA60" r:id="rId29" xr:uid="{580E594F-BEC0-4481-91E7-D7CE9CED1970}"/>
    <hyperlink ref="AA56" r:id="rId30" xr:uid="{597E696C-E879-4E23-A7A1-84B48779DBB3}"/>
    <hyperlink ref="AA50" r:id="rId31" xr:uid="{9F44D2B3-736E-4CF2-8367-16BB0CA7CEE2}"/>
    <hyperlink ref="AA40" r:id="rId32" xr:uid="{EB2145A9-953E-4C01-BBA8-232E89FEC0D3}"/>
    <hyperlink ref="AA8" r:id="rId33" xr:uid="{0D0019C4-CC14-49EE-ADE7-147D0688F838}"/>
    <hyperlink ref="AA107" r:id="rId34" xr:uid="{89E38793-0AC0-4B80-9204-1D7619ADAF60}"/>
    <hyperlink ref="AA104" r:id="rId35" xr:uid="{2D3033D5-766E-4788-AE4A-F2B793DE3F0A}"/>
    <hyperlink ref="AA225:AA229" r:id="rId36" display="javiermosquera@reincorporacion.gov.co" xr:uid="{B39AD80F-0BF6-4FAA-85F0-3BF7D4B92414}"/>
    <hyperlink ref="AA224" r:id="rId37" xr:uid="{72A293BD-FD33-4706-882D-153840E4D3AD}"/>
    <hyperlink ref="AA227" r:id="rId38" xr:uid="{A4A02509-BDAA-44E8-BB9B-BB205ECC4BFF}"/>
    <hyperlink ref="AA132" r:id="rId39" xr:uid="{CDF7B81C-3E1C-4191-9260-FB3EE34CE152}"/>
    <hyperlink ref="AA133" r:id="rId40" xr:uid="{89AE28A3-D444-451D-B046-58B0C55A94A2}"/>
    <hyperlink ref="AA135" r:id="rId41" xr:uid="{F5E596E3-81EB-4FD4-B1FB-9971507F70B9}"/>
    <hyperlink ref="AA136" r:id="rId42" xr:uid="{CA45493F-0E6A-40A2-849B-76D916116D79}"/>
    <hyperlink ref="AA142:AA198" r:id="rId43" display="javiermosquera@reincorporacion.gov.co" xr:uid="{FBEC5BA8-BB08-446F-89F4-76FCAD9B9225}"/>
    <hyperlink ref="AA34" r:id="rId44" xr:uid="{5235DBDA-6424-4FD6-853D-D9BD8D768675}"/>
    <hyperlink ref="AA38" r:id="rId45" xr:uid="{F9F04C04-073C-45A7-A7CE-A88A46A4CC37}"/>
    <hyperlink ref="AA102" r:id="rId46" xr:uid="{D043D7DC-442C-4E4C-A8F1-BA25AB2C3509}"/>
    <hyperlink ref="AA11" r:id="rId47" xr:uid="{B650BB16-E284-4753-BA67-2E956E616368}"/>
    <hyperlink ref="AA21" r:id="rId48" xr:uid="{03F4764D-1E5F-44E4-BE28-64D1EA984695}"/>
    <hyperlink ref="AA35" r:id="rId49" xr:uid="{9A847A31-0749-4619-9F0E-397CCA2E97E1}"/>
    <hyperlink ref="AA39" r:id="rId50" xr:uid="{B540ECEF-609A-446D-B287-67F52F7C8A87}"/>
    <hyperlink ref="AA41" r:id="rId51" xr:uid="{0AFB20FD-1E57-41DB-895A-A4C5E05CAA9E}"/>
    <hyperlink ref="AA95" r:id="rId52" xr:uid="{ECDC6704-FF70-4620-9110-2965AEDFE08D}"/>
    <hyperlink ref="AA118" r:id="rId53" xr:uid="{8D78673A-911B-4AA5-A564-39FB1A93367D}"/>
    <hyperlink ref="AA138" r:id="rId54" xr:uid="{260B9989-1EE1-45E0-89E9-3BD410013D88}"/>
    <hyperlink ref="AA142:AA143" r:id="rId55" display="javiermosquera@reincorporacion.gov.co" xr:uid="{C184EBED-6535-41B3-BB25-B868F62EFBEA}"/>
    <hyperlink ref="AA145:AA148" r:id="rId56" display="javiermosquera@reincorporacion.gov.co" xr:uid="{34420CA8-50A7-42CA-B19E-A226D9FB6E48}"/>
    <hyperlink ref="AA146" r:id="rId57" xr:uid="{A998B740-A90B-42F4-B6B4-332BC4E04B45}"/>
    <hyperlink ref="AA153:AA162" r:id="rId58" display="javiermosquera@reincorporacion.gov.co" xr:uid="{4660927C-5388-48B2-91E4-3CEDE8A02B42}"/>
    <hyperlink ref="AA158" r:id="rId59" xr:uid="{C2391254-B45F-4225-AE91-A05385FABD1D}"/>
    <hyperlink ref="AA155" r:id="rId60" xr:uid="{CF293045-538B-4547-B782-556B48108E1D}"/>
    <hyperlink ref="AA163:AA174" r:id="rId61" display="javiermosquera@reincorporacion.gov.co" xr:uid="{84FA78FC-4D87-4004-8290-1E01C33E9FD4}"/>
    <hyperlink ref="AA175:AA184" r:id="rId62" display="javiermosquera@reincorporacion.gov.co" xr:uid="{2DD908C3-E483-44D8-873C-90E550F170C5}"/>
    <hyperlink ref="AA185:AA193" r:id="rId63" display="javiermosquera@reincorporacion.gov.co" xr:uid="{0FA94E4A-585A-46CB-B55E-A46428E51416}"/>
    <hyperlink ref="AA211" r:id="rId64" xr:uid="{10EA0E8F-93E6-4C55-8839-8E0CEA6EB446}"/>
    <hyperlink ref="AA207" r:id="rId65" xr:uid="{F6D724F7-911D-4B22-A2E5-7A3899A0810A}"/>
    <hyperlink ref="AA163" r:id="rId66" xr:uid="{BAF6927F-2279-42D6-B6B7-3E9B27A80515}"/>
    <hyperlink ref="AA10" r:id="rId67" xr:uid="{41071D45-041A-4756-963F-850F86497E15}"/>
    <hyperlink ref="AA29" r:id="rId68" xr:uid="{273B1631-5CA1-4ED4-BA21-044585560887}"/>
    <hyperlink ref="AA52" r:id="rId69" xr:uid="{51C54487-8024-4247-AE0C-D45E9B21CB8F}"/>
    <hyperlink ref="AA214" r:id="rId70" xr:uid="{ABBD0137-6854-41A6-8C49-AC00C8495508}"/>
    <hyperlink ref="AA20" r:id="rId71" xr:uid="{2A5113BE-BF79-41BB-A419-5CE95C094E08}"/>
    <hyperlink ref="AA16" r:id="rId72" xr:uid="{AE76ECC6-CFE6-449D-B2D9-09064266C761}"/>
    <hyperlink ref="AA113" r:id="rId73" xr:uid="{835B7A67-B738-4F6A-A4D7-D98C9211BDC3}"/>
    <hyperlink ref="AA142" r:id="rId74" xr:uid="{B5BFBCC4-9EFD-4FC0-87EA-3C98075BDC6D}"/>
    <hyperlink ref="AA139" r:id="rId75" xr:uid="{49676206-8253-4283-9312-40861AE51216}"/>
    <hyperlink ref="AA144" r:id="rId76" xr:uid="{EF1599DD-FBAB-4E43-B9FC-DFE3C309377C}"/>
    <hyperlink ref="AA151" r:id="rId77" xr:uid="{E2576001-D6F0-4116-8692-D0EF74C01BCD}"/>
    <hyperlink ref="AA164" r:id="rId78" xr:uid="{B8E29453-07A7-48F0-88D8-6323035ADCFC}"/>
    <hyperlink ref="AA103" r:id="rId79" xr:uid="{FC5831B7-1CD6-4966-B82E-79B6646718B0}"/>
    <hyperlink ref="AA24" r:id="rId80" xr:uid="{D8E07D66-0EA7-4E8C-A260-7B6B3C19F15F}"/>
    <hyperlink ref="AA212" r:id="rId81" xr:uid="{3C9A86A5-6DD8-4453-A194-BF08B5437047}"/>
    <hyperlink ref="AA150" r:id="rId82" xr:uid="{A892F2D4-0880-4DB8-BB86-F6BB38B4EF15}"/>
    <hyperlink ref="AA210" r:id="rId83" xr:uid="{98A5205A-816C-48FE-98E0-E5C9393EA967}"/>
    <hyperlink ref="AA54" r:id="rId84" xr:uid="{B7FA09D0-A27D-4810-B9D0-12D53EF6DC42}"/>
    <hyperlink ref="AA57" r:id="rId85" xr:uid="{ACAFC8E6-4580-445B-BFA7-77404D49CE38}"/>
    <hyperlink ref="AA108" r:id="rId86" xr:uid="{FDE4268C-4F1E-489A-B212-F7D5A7B32E88}"/>
    <hyperlink ref="AA14" r:id="rId87" xr:uid="{60A46E51-A938-4D7D-82C0-D9D5CC9F5335}"/>
    <hyperlink ref="AA19" r:id="rId88" xr:uid="{726A0C72-F4F7-4E5F-B025-B487CF61985E}"/>
    <hyperlink ref="AA27" r:id="rId89" xr:uid="{59023DED-7B42-42C2-B2B2-640203321D03}"/>
    <hyperlink ref="AA114" r:id="rId90" xr:uid="{75975D54-AC19-4B48-84DC-271B381A40F5}"/>
    <hyperlink ref="AA228" r:id="rId91" xr:uid="{756243F5-FBE4-4F03-ADFC-A11155FB35AA}"/>
    <hyperlink ref="AA215" r:id="rId92" xr:uid="{C7E8E463-0A0B-4770-ADD5-1051E2EC078A}"/>
    <hyperlink ref="AA134" r:id="rId93" xr:uid="{CA6ACA20-334B-46AE-88B8-D2FF7405180A}"/>
    <hyperlink ref="AA140" r:id="rId94" xr:uid="{D5D15CB2-036F-44BB-AFFB-9D7B9560F939}"/>
    <hyperlink ref="AA93" r:id="rId95" xr:uid="{6A87BA5F-8918-40A1-9913-B1B665C1EF43}"/>
    <hyperlink ref="AA97" r:id="rId96" xr:uid="{1B98F7CB-4C90-4496-A646-E0F19DD06EA3}"/>
    <hyperlink ref="AA137" r:id="rId97" xr:uid="{ED3B6EDB-5CE0-494D-B603-6509B62DFBC8}"/>
    <hyperlink ref="AA84" r:id="rId98" xr:uid="{8AAD3E8D-DD80-4A64-946A-FF85B132DEA1}"/>
    <hyperlink ref="AA194" r:id="rId99" xr:uid="{9520082A-3F88-4E00-A15B-577B34B6E42D}"/>
    <hyperlink ref="AA195" r:id="rId100" xr:uid="{6F72C2B9-7AD8-4389-9D9D-C9C21AEF47A1}"/>
    <hyperlink ref="AA196" r:id="rId101" xr:uid="{B5B9F0F3-D5FF-43B8-A9E5-79042AC32EE6}"/>
    <hyperlink ref="AA197" r:id="rId102" xr:uid="{80BD4E55-69DF-4581-9D60-0B4A966842A9}"/>
    <hyperlink ref="AA200" r:id="rId103" xr:uid="{CDAF5050-733F-4BCC-8A27-AC1135F41E6D}"/>
    <hyperlink ref="AA199" r:id="rId104" xr:uid="{BFFD2DDF-F9FF-4C0C-9E67-BC333F88A5A0}"/>
    <hyperlink ref="AA63" r:id="rId105" xr:uid="{5AFF1EC5-0191-4658-B0BE-AC552E5643BB}"/>
    <hyperlink ref="AA149" r:id="rId106" xr:uid="{45456EEA-1F1F-44C6-B5A9-9B927AF96658}"/>
    <hyperlink ref="AA43" r:id="rId107" xr:uid="{0D46B613-F1F8-4C80-9F57-85A472F4DA0A}"/>
    <hyperlink ref="AA232" r:id="rId108" xr:uid="{916A5FA8-89CF-4B04-816F-666FFA0ED611}"/>
    <hyperlink ref="AA7" r:id="rId109" xr:uid="{E8CF8ED3-D60A-4784-928E-3A51082C7F25}"/>
    <hyperlink ref="AA42" r:id="rId110" xr:uid="{504BD019-ED5A-432A-B9F2-81DBAEA2282B}"/>
    <hyperlink ref="AA25" r:id="rId111" xr:uid="{EC0EA768-EA7A-4722-9526-D550712C3D63}"/>
    <hyperlink ref="AA17" r:id="rId112" xr:uid="{3A9D9055-E88D-47A8-AF1B-5B8578C074ED}"/>
    <hyperlink ref="AA92" r:id="rId113" xr:uid="{8B68E987-1A52-4EA0-A117-AC08A3E71C93}"/>
    <hyperlink ref="AA226" r:id="rId114" xr:uid="{28C8D877-4858-4EEA-B387-54B517E14830}"/>
    <hyperlink ref="AA94" r:id="rId115" xr:uid="{9500CE5E-F0AF-44B0-9584-613EA9915BAF}"/>
    <hyperlink ref="AA13" r:id="rId116" xr:uid="{FF04B7D2-139D-4740-8737-CCEA7E3CB17F}"/>
    <hyperlink ref="AA78" r:id="rId117" xr:uid="{618480AF-F7AB-4C95-BDDB-3B06A8656DA6}"/>
  </hyperlinks>
  <pageMargins left="0.70866141732283472" right="0.70866141732283472" top="0.74803149606299213" bottom="0.74803149606299213" header="0.31496062992125984" footer="0.31496062992125984"/>
  <pageSetup scale="39" orientation="landscape" r:id="rId118"/>
  <rowBreaks count="2" manualBreakCount="2">
    <brk id="39" max="38" man="1"/>
    <brk id="80" max="16383" man="1"/>
  </rowBreaks>
  <colBreaks count="2" manualBreakCount="2">
    <brk id="13" max="1048575" man="1"/>
    <brk id="26" max="246" man="1"/>
  </colBreaks>
  <legacyDrawing r:id="rId119"/>
  <tableParts count="1">
    <tablePart r:id="rId120"/>
  </tableParts>
  <extLst>
    <ext xmlns:x14="http://schemas.microsoft.com/office/spreadsheetml/2009/9/main" uri="{CCE6A557-97BC-4b89-ADB6-D9C93CAAB3DF}">
      <x14:dataValidations xmlns:xm="http://schemas.microsoft.com/office/excel/2006/main" count="9">
        <x14:dataValidation type="list" allowBlank="1" showInputMessage="1" showErrorMessage="1" xr:uid="{ED1DEF3B-817B-4979-A611-2AD6F4C11758}">
          <x14:formula1>
            <xm:f>'Z:\CONTRATACION\ARN\2020\PLAN ANUAL DE CONTRATACION\[Plan de Adquisiciones ARN 2020  VER_9.xlsx]Listas'!#REF!</xm:f>
          </x14:formula1>
          <xm:sqref>A92 U92 J92</xm:sqref>
        </x14:dataValidation>
        <x14:dataValidation type="list" allowBlank="1" showInputMessage="1" showErrorMessage="1" xr:uid="{710456A8-04DF-4ADD-8365-35EBF23BFD42}">
          <x14:formula1>
            <xm:f>'Z:\CONTRATACION\ARN\2020\PLAN ANUAL DE CONTRATACION\[Plan de Adquisiciones ARN 2020  En construccion_11.xlsx]Listas'!#REF!</xm:f>
          </x14:formula1>
          <xm:sqref>A93:A234 A6:A91</xm:sqref>
        </x14:dataValidation>
        <x14:dataValidation type="list" allowBlank="1" showInputMessage="1" showErrorMessage="1" xr:uid="{4A80AFD5-61DE-48D5-BC67-039E6721CF6E}">
          <x14:formula1>
            <xm:f>'Z:\CONTRATACION\ARN\2020\PLAN ANUAL DE CONTRATACION\[Plan de Adquisiciones ARN 2020  En construccion_11.xlsx]Listas'!#REF!</xm:f>
          </x14:formula1>
          <xm:sqref>U93:U234 U6:U91</xm:sqref>
        </x14:dataValidation>
        <x14:dataValidation type="list" allowBlank="1" showInputMessage="1" showErrorMessage="1" xr:uid="{E39B8E01-5FF5-4C65-9987-2F6810918F20}">
          <x14:formula1>
            <xm:f>'C:\Users\leonardovillamil\AppData\Local\Microsoft\Windows\INetCache\Content.Outlook\HMCHKIQZ\[Formulario Necesidades -PAA 2020 OAC 29-nov-2019 ALCANCE.xlsx]Listas'!#REF!</xm:f>
          </x14:formula1>
          <xm:sqref>T224:T229</xm:sqref>
        </x14:dataValidation>
        <x14:dataValidation type="list" allowBlank="1" showInputMessage="1" showErrorMessage="1" xr:uid="{2E9B5EB7-E6D6-4C79-AD0D-5D7C7A1CDD7F}">
          <x14:formula1>
            <xm:f>'Z:\ARN\2019\PLAN DE ADQUISICIONES\Elaboracion PAA\PAA 2020\Necesidades Areas 2020\[Copia de 1 PAA DPR Actualizado a 03012020.xlsx]Listas'!#REF!</xm:f>
          </x14:formula1>
          <xm:sqref>J29</xm:sqref>
        </x14:dataValidation>
        <x14:dataValidation type="list" allowBlank="1" showInputMessage="1" showErrorMessage="1" xr:uid="{A2C16C76-EB8B-4B81-B322-33877C1C26B6}">
          <x14:formula1>
            <xm:f>'Z:\CONTRATACION\ARN\2020\PLAN ANUAL DE CONTRATACION\[Plan de Adquisiciones ARN 2020  En construccion_11.xlsx]Listas'!#REF!</xm:f>
          </x14:formula1>
          <xm:sqref>J93:J149 J151:J234 J6:J28 J30:J91</xm:sqref>
        </x14:dataValidation>
        <x14:dataValidation type="list" allowBlank="1" showInputMessage="1" showErrorMessage="1" xr:uid="{0E22A8EF-0327-4D02-9B39-48C2D8F4ED79}">
          <x14:formula1>
            <xm:f>'C:\Users\leonardovillamil\Documents\ARN\PAA 2019\ELABORACION PAA 2020\Necesidades depencias\[Formulario Necesidades -PAA 2020 Planeacion.xlsx]Listas'!#REF!</xm:f>
          </x14:formula1>
          <xm:sqref>T116:T117</xm:sqref>
        </x14:dataValidation>
        <x14:dataValidation type="list" allowBlank="1" showInputMessage="1" showErrorMessage="1" xr:uid="{77115514-5E93-473B-BD3B-0A53412DD5CF}">
          <x14:formula1>
            <xm:f>'C:\Users\leonardovillamil\Documents\ARN\PAA 2019\ELABORACION PAA 2020\Necesidades depencias\[Formulario Necesidades -PAA 2020 financiera.xlsb]Listas'!#REF!</xm:f>
          </x14:formula1>
          <xm:sqref>T106</xm:sqref>
        </x14:dataValidation>
        <x14:dataValidation type="list" allowBlank="1" showInputMessage="1" showErrorMessage="1" xr:uid="{A44F75DD-49AB-4C64-AF0D-0799C619B662}">
          <x14:formula1>
            <xm:f>'C:\Users\carolinacastillo\Documents\DPR 2020\Plan Anual de Adquisiciones 2020\[201119 Consolidado PAA 2020 DPR V1_18112019.xlsx]Listas'!#REF!</xm:f>
          </x14:formula1>
          <xm:sqref>T8:T10 T12:T17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3CFCSSYJ6V66-57-136</_dlc_DocId>
    <_dlc_DocIdUrl xmlns="6e2a57a2-9d48-4009-82e5-3fe89fb6c543">
      <Url>http://www.reincorporacion.gov.co/es/agencia/_layouts/15/DocIdRedir.aspx?ID=3CFCSSYJ6V66-57-136</Url>
      <Description>3CFCSSYJ6V66-57-136</Description>
    </_dlc_DocIdUrl>
  </documentManagement>
</p:properties>
</file>

<file path=customXml/itemProps1.xml><?xml version="1.0" encoding="utf-8"?>
<ds:datastoreItem xmlns:ds="http://schemas.openxmlformats.org/officeDocument/2006/customXml" ds:itemID="{8A793CDB-16E8-4F06-A587-25E7B1C94663}"/>
</file>

<file path=customXml/itemProps2.xml><?xml version="1.0" encoding="utf-8"?>
<ds:datastoreItem xmlns:ds="http://schemas.openxmlformats.org/officeDocument/2006/customXml" ds:itemID="{AD8F1CAB-4B7C-4BFB-8C70-CC845DD0618B}"/>
</file>

<file path=customXml/itemProps3.xml><?xml version="1.0" encoding="utf-8"?>
<ds:datastoreItem xmlns:ds="http://schemas.openxmlformats.org/officeDocument/2006/customXml" ds:itemID="{2435BAD8-363E-44E3-9A74-1FE9B7548145}"/>
</file>

<file path=customXml/itemProps4.xml><?xml version="1.0" encoding="utf-8"?>
<ds:datastoreItem xmlns:ds="http://schemas.openxmlformats.org/officeDocument/2006/customXml" ds:itemID="{BA3AB52D-4AAA-4BC1-9C07-3FD37C4026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11</dc:title>
  <dc:creator>Leonardo Segundo Villamil Huertas</dc:creator>
  <cp:lastModifiedBy>Leonardo Segundo Villamil Huertas</cp:lastModifiedBy>
  <dcterms:created xsi:type="dcterms:W3CDTF">2020-10-01T01:08:48Z</dcterms:created>
  <dcterms:modified xsi:type="dcterms:W3CDTF">2020-10-01T01:14:24Z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884d6a3b-9731-4372-916c-758a7d9640df</vt:lpwstr>
  </property>
</Properties>
</file>