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22D04589-C546-404A-9839-E20AEBB3D996}" xr6:coauthVersionLast="36" xr6:coauthVersionMax="36" xr10:uidLastSave="{00000000-0000-0000-0000-000000000000}"/>
  <bookViews>
    <workbookView xWindow="0" yWindow="0" windowWidth="19200" windowHeight="6930" xr2:uid="{6335F250-9F85-4D30-9C16-607B50A3209C}"/>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2020'!$A$5:$AA$43</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2020'!$A$1:$AA$225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5" i="1" l="1"/>
  <c r="O214" i="1"/>
  <c r="N214" i="1" s="1"/>
  <c r="M214" i="1" s="1"/>
  <c r="N213" i="1"/>
  <c r="M213" i="1" s="1"/>
  <c r="N212" i="1"/>
  <c r="M212" i="1" s="1"/>
  <c r="N211" i="1"/>
  <c r="M211" i="1" s="1"/>
  <c r="N210" i="1"/>
  <c r="M210" i="1" s="1"/>
  <c r="O209" i="1"/>
  <c r="N209" i="1" s="1"/>
  <c r="M209" i="1" s="1"/>
  <c r="O208" i="1"/>
  <c r="N208" i="1"/>
  <c r="M208" i="1" s="1"/>
  <c r="N207" i="1"/>
  <c r="M207" i="1" s="1"/>
  <c r="O206" i="1"/>
  <c r="N206" i="1" s="1"/>
  <c r="M206" i="1" s="1"/>
  <c r="P205" i="1"/>
  <c r="O205" i="1"/>
  <c r="P204" i="1"/>
  <c r="O204" i="1"/>
  <c r="P203" i="1"/>
  <c r="O203" i="1"/>
  <c r="O202" i="1"/>
  <c r="N202" i="1" s="1"/>
  <c r="M202" i="1" s="1"/>
  <c r="O201" i="1"/>
  <c r="N201" i="1" s="1"/>
  <c r="M201" i="1" s="1"/>
  <c r="O200" i="1"/>
  <c r="N200" i="1" s="1"/>
  <c r="M200" i="1" s="1"/>
  <c r="O199" i="1"/>
  <c r="N199" i="1" s="1"/>
  <c r="M199" i="1" s="1"/>
  <c r="N198" i="1"/>
  <c r="M198" i="1" s="1"/>
  <c r="O197" i="1"/>
  <c r="N197" i="1" s="1"/>
  <c r="M197" i="1" s="1"/>
  <c r="O196" i="1"/>
  <c r="N196" i="1"/>
  <c r="M196" i="1" s="1"/>
  <c r="O195" i="1"/>
  <c r="N195" i="1" s="1"/>
  <c r="M195" i="1" s="1"/>
  <c r="N194" i="1"/>
  <c r="M194" i="1" s="1"/>
  <c r="O193" i="1"/>
  <c r="N193" i="1" s="1"/>
  <c r="M193" i="1" s="1"/>
  <c r="N192" i="1"/>
  <c r="M192" i="1" s="1"/>
  <c r="O191" i="1"/>
  <c r="N191" i="1" s="1"/>
  <c r="M191" i="1" s="1"/>
  <c r="O190" i="1"/>
  <c r="N190" i="1" s="1"/>
  <c r="M190" i="1" s="1"/>
  <c r="N189" i="1"/>
  <c r="M189" i="1" s="1"/>
  <c r="N188" i="1"/>
  <c r="M188" i="1" s="1"/>
  <c r="N187" i="1"/>
  <c r="M187" i="1" s="1"/>
  <c r="O186" i="1"/>
  <c r="N186" i="1" s="1"/>
  <c r="M186" i="1" s="1"/>
  <c r="O185" i="1"/>
  <c r="N185" i="1" s="1"/>
  <c r="M185" i="1" s="1"/>
  <c r="N184" i="1"/>
  <c r="M184" i="1" s="1"/>
  <c r="N183" i="1"/>
  <c r="M183" i="1" s="1"/>
  <c r="N182" i="1"/>
  <c r="M182" i="1" s="1"/>
  <c r="N181" i="1"/>
  <c r="M181" i="1" s="1"/>
  <c r="N180" i="1"/>
  <c r="M180" i="1" s="1"/>
  <c r="N179" i="1"/>
  <c r="M179" i="1" s="1"/>
  <c r="N178" i="1"/>
  <c r="M178" i="1" s="1"/>
  <c r="N177" i="1"/>
  <c r="M177" i="1" s="1"/>
  <c r="N176" i="1"/>
  <c r="M176" i="1" s="1"/>
  <c r="N175" i="1"/>
  <c r="M175" i="1" s="1"/>
  <c r="N174" i="1"/>
  <c r="M174" i="1" s="1"/>
  <c r="N173" i="1"/>
  <c r="M173" i="1" s="1"/>
  <c r="N172" i="1"/>
  <c r="M172" i="1" s="1"/>
  <c r="N171" i="1"/>
  <c r="M171" i="1" s="1"/>
  <c r="N170" i="1"/>
  <c r="M170" i="1" s="1"/>
  <c r="N169" i="1"/>
  <c r="M169" i="1" s="1"/>
  <c r="N168" i="1"/>
  <c r="M168" i="1" s="1"/>
  <c r="N167" i="1"/>
  <c r="M167" i="1" s="1"/>
  <c r="N166" i="1"/>
  <c r="M166" i="1" s="1"/>
  <c r="N165" i="1"/>
  <c r="M165" i="1" s="1"/>
  <c r="N164" i="1"/>
  <c r="M164" i="1" s="1"/>
  <c r="N163" i="1"/>
  <c r="M163" i="1" s="1"/>
  <c r="N162" i="1"/>
  <c r="M162" i="1" s="1"/>
  <c r="N161" i="1"/>
  <c r="M161" i="1" s="1"/>
  <c r="N160" i="1"/>
  <c r="M160" i="1" s="1"/>
  <c r="N159" i="1"/>
  <c r="M159" i="1" s="1"/>
  <c r="N158" i="1"/>
  <c r="M158" i="1" s="1"/>
  <c r="N157" i="1"/>
  <c r="M157" i="1" s="1"/>
  <c r="N156" i="1"/>
  <c r="M156" i="1" s="1"/>
  <c r="N155" i="1"/>
  <c r="M155" i="1" s="1"/>
  <c r="N154" i="1"/>
  <c r="M154" i="1" s="1"/>
  <c r="N153" i="1"/>
  <c r="M153" i="1" s="1"/>
  <c r="P152" i="1"/>
  <c r="N152" i="1" s="1"/>
  <c r="M152" i="1" s="1"/>
  <c r="P151" i="1"/>
  <c r="N151" i="1" s="1"/>
  <c r="M151" i="1" s="1"/>
  <c r="N150" i="1"/>
  <c r="M150" i="1" s="1"/>
  <c r="N149" i="1"/>
  <c r="M149" i="1" s="1"/>
  <c r="N148" i="1"/>
  <c r="M148" i="1" s="1"/>
  <c r="N147" i="1"/>
  <c r="M147" i="1" s="1"/>
  <c r="N146" i="1"/>
  <c r="M146" i="1" s="1"/>
  <c r="N145" i="1"/>
  <c r="M145" i="1" s="1"/>
  <c r="N144" i="1"/>
  <c r="M144" i="1" s="1"/>
  <c r="Q143" i="1"/>
  <c r="O143" i="1"/>
  <c r="N143" i="1" s="1"/>
  <c r="N142" i="1"/>
  <c r="M142" i="1" s="1"/>
  <c r="N141" i="1"/>
  <c r="M141" i="1" s="1"/>
  <c r="O140" i="1"/>
  <c r="N140" i="1" s="1"/>
  <c r="M140" i="1" s="1"/>
  <c r="O139" i="1"/>
  <c r="N139" i="1" s="1"/>
  <c r="M139" i="1" s="1"/>
  <c r="N138" i="1"/>
  <c r="M138" i="1" s="1"/>
  <c r="O137" i="1"/>
  <c r="N137" i="1" s="1"/>
  <c r="M137" i="1" s="1"/>
  <c r="N136" i="1"/>
  <c r="M136" i="1" s="1"/>
  <c r="O135" i="1"/>
  <c r="N135" i="1" s="1"/>
  <c r="M135" i="1" s="1"/>
  <c r="O134" i="1"/>
  <c r="N134" i="1" s="1"/>
  <c r="M134" i="1" s="1"/>
  <c r="R133" i="1"/>
  <c r="Q133" i="1"/>
  <c r="N133" i="1"/>
  <c r="O132" i="1"/>
  <c r="N132" i="1" s="1"/>
  <c r="M132" i="1" s="1"/>
  <c r="R131" i="1"/>
  <c r="Q131" i="1"/>
  <c r="O131" i="1"/>
  <c r="N131" i="1" s="1"/>
  <c r="O130" i="1"/>
  <c r="N130" i="1" s="1"/>
  <c r="M130" i="1" s="1"/>
  <c r="N129" i="1"/>
  <c r="M129" i="1" s="1"/>
  <c r="N128" i="1"/>
  <c r="M128" i="1" s="1"/>
  <c r="O127" i="1"/>
  <c r="N127" i="1"/>
  <c r="M127" i="1" s="1"/>
  <c r="O126" i="1"/>
  <c r="N126" i="1" s="1"/>
  <c r="M126" i="1" s="1"/>
  <c r="O125" i="1"/>
  <c r="N125" i="1" s="1"/>
  <c r="M125" i="1" s="1"/>
  <c r="N124" i="1"/>
  <c r="M124" i="1" s="1"/>
  <c r="N123" i="1"/>
  <c r="M123" i="1" s="1"/>
  <c r="O122" i="1"/>
  <c r="N122" i="1" s="1"/>
  <c r="M122" i="1" s="1"/>
  <c r="O121" i="1"/>
  <c r="N121" i="1" s="1"/>
  <c r="M121" i="1" s="1"/>
  <c r="O120" i="1"/>
  <c r="N120" i="1" s="1"/>
  <c r="M120" i="1" s="1"/>
  <c r="O119" i="1"/>
  <c r="N119" i="1" s="1"/>
  <c r="M119" i="1" s="1"/>
  <c r="N118" i="1"/>
  <c r="M118" i="1" s="1"/>
  <c r="P117" i="1"/>
  <c r="O117" i="1"/>
  <c r="P116" i="1"/>
  <c r="O116" i="1"/>
  <c r="N115" i="1"/>
  <c r="M115" i="1" s="1"/>
  <c r="P114" i="1"/>
  <c r="O114" i="1"/>
  <c r="N113" i="1"/>
  <c r="M113" i="1"/>
  <c r="P112" i="1"/>
  <c r="N112" i="1" s="1"/>
  <c r="M112" i="1" s="1"/>
  <c r="N111" i="1"/>
  <c r="M111" i="1" s="1"/>
  <c r="P110" i="1"/>
  <c r="N110" i="1" s="1"/>
  <c r="M110" i="1" s="1"/>
  <c r="N109" i="1"/>
  <c r="M109" i="1" s="1"/>
  <c r="N108" i="1"/>
  <c r="M108" i="1" s="1"/>
  <c r="N107" i="1"/>
  <c r="M107" i="1" s="1"/>
  <c r="N106" i="1"/>
  <c r="M106" i="1" s="1"/>
  <c r="Q105" i="1"/>
  <c r="O105" i="1"/>
  <c r="N105" i="1"/>
  <c r="Q104" i="1"/>
  <c r="O104" i="1"/>
  <c r="N104" i="1" s="1"/>
  <c r="O103" i="1"/>
  <c r="N103" i="1" s="1"/>
  <c r="M103" i="1" s="1"/>
  <c r="N102" i="1"/>
  <c r="M102" i="1" s="1"/>
  <c r="N101" i="1"/>
  <c r="M101" i="1"/>
  <c r="N100" i="1"/>
  <c r="M100" i="1" s="1"/>
  <c r="O99" i="1"/>
  <c r="N99" i="1" s="1"/>
  <c r="M99" i="1" s="1"/>
  <c r="O98" i="1"/>
  <c r="N98" i="1" s="1"/>
  <c r="M98" i="1" s="1"/>
  <c r="N97" i="1"/>
  <c r="M97" i="1" s="1"/>
  <c r="O96" i="1"/>
  <c r="N96" i="1" s="1"/>
  <c r="M96" i="1" s="1"/>
  <c r="O95" i="1"/>
  <c r="N95" i="1"/>
  <c r="M95" i="1" s="1"/>
  <c r="O94" i="1"/>
  <c r="N94" i="1" s="1"/>
  <c r="O93" i="1"/>
  <c r="N93" i="1" s="1"/>
  <c r="M93" i="1" s="1"/>
  <c r="P92" i="1"/>
  <c r="O92" i="1"/>
  <c r="O91" i="1"/>
  <c r="N91" i="1" s="1"/>
  <c r="M91" i="1" s="1"/>
  <c r="N90" i="1"/>
  <c r="M90" i="1" s="1"/>
  <c r="P89" i="1"/>
  <c r="O89" i="1"/>
  <c r="N88" i="1"/>
  <c r="M88" i="1" s="1"/>
  <c r="N87" i="1"/>
  <c r="M87" i="1" s="1"/>
  <c r="O86" i="1"/>
  <c r="N86" i="1" s="1"/>
  <c r="M86" i="1" s="1"/>
  <c r="N85" i="1"/>
  <c r="M85" i="1" s="1"/>
  <c r="N84" i="1"/>
  <c r="M84" i="1" s="1"/>
  <c r="N83" i="1"/>
  <c r="M83" i="1" s="1"/>
  <c r="N82" i="1"/>
  <c r="M82" i="1" s="1"/>
  <c r="N81" i="1"/>
  <c r="M81" i="1" s="1"/>
  <c r="O80" i="1"/>
  <c r="N80" i="1" s="1"/>
  <c r="M80" i="1" s="1"/>
  <c r="N79" i="1"/>
  <c r="M79" i="1" s="1"/>
  <c r="O78" i="1"/>
  <c r="N78" i="1"/>
  <c r="M78" i="1" s="1"/>
  <c r="O77" i="1"/>
  <c r="N77" i="1" s="1"/>
  <c r="M77" i="1" s="1"/>
  <c r="O76" i="1"/>
  <c r="N76" i="1" s="1"/>
  <c r="M76" i="1" s="1"/>
  <c r="O75" i="1"/>
  <c r="N75" i="1" s="1"/>
  <c r="M75" i="1" s="1"/>
  <c r="O74" i="1"/>
  <c r="N74" i="1" s="1"/>
  <c r="M74" i="1" s="1"/>
  <c r="N73" i="1"/>
  <c r="M73" i="1" s="1"/>
  <c r="O72" i="1"/>
  <c r="N72" i="1" s="1"/>
  <c r="M72" i="1" s="1"/>
  <c r="Q71" i="1"/>
  <c r="P71" i="1"/>
  <c r="O71" i="1"/>
  <c r="N70" i="1"/>
  <c r="M70" i="1" s="1"/>
  <c r="P69" i="1"/>
  <c r="O69" i="1"/>
  <c r="N68" i="1"/>
  <c r="M68" i="1" s="1"/>
  <c r="N67" i="1"/>
  <c r="M67" i="1" s="1"/>
  <c r="P66" i="1"/>
  <c r="O66" i="1"/>
  <c r="N65" i="1"/>
  <c r="M65" i="1" s="1"/>
  <c r="P64" i="1"/>
  <c r="O64" i="1"/>
  <c r="P63" i="1"/>
  <c r="O63" i="1"/>
  <c r="P62" i="1"/>
  <c r="O62" i="1"/>
  <c r="P61" i="1"/>
  <c r="O61" i="1"/>
  <c r="N60" i="1"/>
  <c r="M60" i="1" s="1"/>
  <c r="N59" i="1"/>
  <c r="M59" i="1" s="1"/>
  <c r="P58" i="1"/>
  <c r="O58" i="1"/>
  <c r="N58" i="1" s="1"/>
  <c r="M58" i="1" s="1"/>
  <c r="P57" i="1"/>
  <c r="O57" i="1"/>
  <c r="N56" i="1"/>
  <c r="M56" i="1" s="1"/>
  <c r="N55" i="1"/>
  <c r="M55" i="1" s="1"/>
  <c r="N54" i="1"/>
  <c r="M54" i="1" s="1"/>
  <c r="N53" i="1"/>
  <c r="M53" i="1" s="1"/>
  <c r="P52" i="1"/>
  <c r="O52" i="1"/>
  <c r="P51" i="1"/>
  <c r="O51" i="1"/>
  <c r="P50" i="1"/>
  <c r="O50" i="1"/>
  <c r="N50" i="1" s="1"/>
  <c r="M50" i="1" s="1"/>
  <c r="P49" i="1"/>
  <c r="O49" i="1"/>
  <c r="P48" i="1"/>
  <c r="O48" i="1"/>
  <c r="P47" i="1"/>
  <c r="O47" i="1"/>
  <c r="P46" i="1"/>
  <c r="O46" i="1"/>
  <c r="N46" i="1" s="1"/>
  <c r="M46" i="1" s="1"/>
  <c r="P45" i="1"/>
  <c r="O45" i="1"/>
  <c r="P44" i="1"/>
  <c r="O44" i="1"/>
  <c r="P43" i="1"/>
  <c r="O43" i="1"/>
  <c r="R42" i="1"/>
  <c r="Q42" i="1"/>
  <c r="N42" i="1"/>
  <c r="O41" i="1"/>
  <c r="N41" i="1" s="1"/>
  <c r="M41" i="1" s="1"/>
  <c r="P40" i="1"/>
  <c r="O40" i="1"/>
  <c r="P39" i="1"/>
  <c r="O39" i="1"/>
  <c r="P38" i="1"/>
  <c r="O38" i="1"/>
  <c r="N37" i="1"/>
  <c r="M37" i="1" s="1"/>
  <c r="N36" i="1"/>
  <c r="M36" i="1" s="1"/>
  <c r="N35" i="1"/>
  <c r="M35" i="1" s="1"/>
  <c r="P34" i="1"/>
  <c r="N34" i="1" s="1"/>
  <c r="M34" i="1" s="1"/>
  <c r="O34" i="1"/>
  <c r="P33" i="1"/>
  <c r="O33" i="1"/>
  <c r="N33" i="1" s="1"/>
  <c r="M33" i="1" s="1"/>
  <c r="P32" i="1"/>
  <c r="O32" i="1"/>
  <c r="N31" i="1"/>
  <c r="M31" i="1" s="1"/>
  <c r="P30" i="1"/>
  <c r="N30" i="1"/>
  <c r="M30" i="1" s="1"/>
  <c r="N29" i="1"/>
  <c r="M29" i="1" s="1"/>
  <c r="N28" i="1"/>
  <c r="M28" i="1" s="1"/>
  <c r="O27" i="1"/>
  <c r="N27" i="1" s="1"/>
  <c r="M27" i="1" s="1"/>
  <c r="O26" i="1"/>
  <c r="O218" i="1" s="1"/>
  <c r="N26" i="1"/>
  <c r="M26" i="1" s="1"/>
  <c r="P25" i="1"/>
  <c r="O25" i="1"/>
  <c r="P24" i="1"/>
  <c r="O24" i="1"/>
  <c r="N23" i="1"/>
  <c r="M23" i="1" s="1"/>
  <c r="P22" i="1"/>
  <c r="O22" i="1"/>
  <c r="N22" i="1" s="1"/>
  <c r="M22" i="1" s="1"/>
  <c r="O21" i="1"/>
  <c r="N21" i="1" s="1"/>
  <c r="M21" i="1" s="1"/>
  <c r="P20" i="1"/>
  <c r="N20" i="1" s="1"/>
  <c r="M20" i="1" s="1"/>
  <c r="P19" i="1"/>
  <c r="O19" i="1"/>
  <c r="N18" i="1"/>
  <c r="M18" i="1" s="1"/>
  <c r="P17" i="1"/>
  <c r="N17" i="1" s="1"/>
  <c r="M17" i="1" s="1"/>
  <c r="N16" i="1"/>
  <c r="M16" i="1" s="1"/>
  <c r="N15" i="1"/>
  <c r="M15" i="1"/>
  <c r="N14" i="1"/>
  <c r="M14" i="1" s="1"/>
  <c r="P13" i="1"/>
  <c r="N13" i="1" s="1"/>
  <c r="M13" i="1" s="1"/>
  <c r="P12" i="1"/>
  <c r="N12" i="1" s="1"/>
  <c r="M12" i="1" s="1"/>
  <c r="N11" i="1"/>
  <c r="M11" i="1" s="1"/>
  <c r="N10" i="1"/>
  <c r="M10" i="1" s="1"/>
  <c r="O9" i="1"/>
  <c r="N9" i="1" s="1"/>
  <c r="M9" i="1" s="1"/>
  <c r="N8" i="1"/>
  <c r="M8" i="1" s="1"/>
  <c r="P7" i="1"/>
  <c r="N7" i="1" s="1"/>
  <c r="M7" i="1" s="1"/>
  <c r="P6" i="1"/>
  <c r="N6" i="1" s="1"/>
  <c r="M6" i="1" s="1"/>
  <c r="N114" i="1" l="1"/>
  <c r="M114" i="1" s="1"/>
  <c r="N57" i="1"/>
  <c r="M57" i="1" s="1"/>
  <c r="N205" i="1"/>
  <c r="M205" i="1" s="1"/>
  <c r="N48" i="1"/>
  <c r="M48" i="1" s="1"/>
  <c r="N92" i="1"/>
  <c r="M92" i="1" s="1"/>
  <c r="N116" i="1"/>
  <c r="M116" i="1" s="1"/>
  <c r="M133" i="1"/>
  <c r="N63" i="1"/>
  <c r="M63" i="1" s="1"/>
  <c r="N69" i="1"/>
  <c r="M69" i="1" s="1"/>
  <c r="N51" i="1"/>
  <c r="M51" i="1" s="1"/>
  <c r="M104" i="1"/>
  <c r="N19" i="1"/>
  <c r="M19" i="1" s="1"/>
  <c r="N40" i="1"/>
  <c r="M40" i="1" s="1"/>
  <c r="N44" i="1"/>
  <c r="M44" i="1" s="1"/>
  <c r="N62" i="1"/>
  <c r="M62" i="1" s="1"/>
  <c r="N66" i="1"/>
  <c r="M66" i="1" s="1"/>
  <c r="N24" i="1"/>
  <c r="M24" i="1" s="1"/>
  <c r="N117" i="1"/>
  <c r="M117" i="1" s="1"/>
  <c r="M143" i="1"/>
  <c r="M42" i="1"/>
  <c r="N47" i="1"/>
  <c r="M47" i="1" s="1"/>
  <c r="N61" i="1"/>
  <c r="M61" i="1" s="1"/>
  <c r="N32" i="1"/>
  <c r="M32" i="1" s="1"/>
  <c r="M105" i="1"/>
  <c r="N25" i="1"/>
  <c r="M25" i="1" s="1"/>
  <c r="N43" i="1"/>
  <c r="M43" i="1" s="1"/>
  <c r="N204" i="1"/>
  <c r="M204" i="1" s="1"/>
  <c r="N52" i="1"/>
  <c r="M52" i="1" s="1"/>
  <c r="N89" i="1"/>
  <c r="M89" i="1" s="1"/>
  <c r="N38" i="1"/>
  <c r="M38" i="1" s="1"/>
  <c r="N39" i="1"/>
  <c r="M39" i="1" s="1"/>
  <c r="N64" i="1"/>
  <c r="M64" i="1" s="1"/>
  <c r="N203" i="1"/>
  <c r="M203" i="1" s="1"/>
  <c r="M131" i="1"/>
  <c r="O215" i="1"/>
  <c r="Q215" i="1"/>
  <c r="N49" i="1"/>
  <c r="M49" i="1" s="1"/>
  <c r="M94" i="1"/>
  <c r="P215" i="1"/>
  <c r="N45" i="1"/>
  <c r="M45" i="1" s="1"/>
  <c r="N71" i="1"/>
  <c r="M71" i="1" s="1"/>
  <c r="N2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6" authorId="0" shapeId="0" xr:uid="{D2D91170-C992-4CCA-BD56-72018B98C3C0}">
      <text>
        <r>
          <rPr>
            <b/>
            <sz val="9"/>
            <color indexed="81"/>
            <rFont val="Tahoma"/>
            <family val="2"/>
          </rPr>
          <t>Lucy Gonzalez Rodriguez:</t>
        </r>
        <r>
          <rPr>
            <sz val="9"/>
            <color indexed="81"/>
            <rFont val="Tahoma"/>
            <family val="2"/>
          </rPr>
          <t xml:space="preserve">
Recursos de Inversión</t>
        </r>
      </text>
    </comment>
    <comment ref="P26" authorId="0" shapeId="0" xr:uid="{7F28B23B-5074-4CAD-90CC-E9797EEF2A42}">
      <text>
        <r>
          <rPr>
            <b/>
            <sz val="9"/>
            <color indexed="81"/>
            <rFont val="Tahoma"/>
            <family val="2"/>
          </rPr>
          <t>Lucy Gonzalez Rodriguez:</t>
        </r>
        <r>
          <rPr>
            <sz val="9"/>
            <color indexed="81"/>
            <rFont val="Tahoma"/>
            <family val="2"/>
          </rPr>
          <t xml:space="preserve">
Recursos de Inversión</t>
        </r>
      </text>
    </comment>
    <comment ref="Q35" authorId="1" shapeId="0" xr:uid="{CE58F174-AD0B-47F1-BFF0-FE90ABBEBAE5}">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63" authorId="2" shapeId="0" xr:uid="{45D146DE-A811-4912-9075-042CB7C53CAE}">
      <text>
        <r>
          <rPr>
            <b/>
            <sz val="9"/>
            <color indexed="81"/>
            <rFont val="Tahoma"/>
            <family val="2"/>
          </rPr>
          <t>Sergio Daniel Perez Pintor:</t>
        </r>
        <r>
          <rPr>
            <sz val="9"/>
            <color indexed="81"/>
            <rFont val="Tahoma"/>
            <family val="2"/>
          </rPr>
          <t xml:space="preserve">
Valor mensual por 12 meses</t>
        </r>
      </text>
    </comment>
    <comment ref="T71" authorId="2" shapeId="0" xr:uid="{A99493CC-5B6B-49E7-95A8-089F7D9FD7E2}">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<sst xmlns="http://schemas.openxmlformats.org/spreadsheetml/2006/main" count="3301" uniqueCount="539">
  <si>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</si>
  <si>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</si>
  <si>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</si>
  <si>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</si>
  <si>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</si>
  <si>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</si>
  <si>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</si>
  <si>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</si>
  <si>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</si>
  <si>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</si>
  <si>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</si>
  <si>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</si>
  <si>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</si>
  <si>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</si>
  <si>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</si>
  <si>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</si>
  <si>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</si>
  <si>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</si>
  <si>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</si>
  <si>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</si>
  <si>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</si>
  <si>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</si>
  <si>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</si>
  <si>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</si>
  <si>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</si>
  <si>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</si>
  <si>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</si>
  <si>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</si>
  <si>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</si>
  <si>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</si>
  <si>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</si>
  <si>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</si>
  <si>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</si>
  <si>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</si>
  <si>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</si>
  <si>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</si>
  <si>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</si>
  <si>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</si>
  <si>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</si>
  <si>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</si>
  <si>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</si>
  <si>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</si>
  <si>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</si>
  <si>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</si>
  <si>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</si>
  <si>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r>
      <rPr>
        <b/>
        <sz val="11"/>
        <color theme="1"/>
        <rFont val="Arial"/>
        <family val="2"/>
      </rPr>
      <t>Recurso por asignar</t>
    </r>
    <r>
      <rPr>
        <sz val="11"/>
        <color theme="1"/>
        <rFont val="Arial"/>
        <family val="2"/>
      </rPr>
      <t xml:space="preserve"> "Aunar esfuerzos para la implementación y seguimiento a las acciones comunitarias con enfoque de género"  
</t>
    </r>
    <r>
      <rPr>
        <b/>
        <sz val="11"/>
        <color theme="1"/>
        <rFont val="Arial"/>
        <family val="2"/>
      </rPr>
      <t xml:space="preserve">(Convenio de Cooperación Internacional British) </t>
    </r>
  </si>
  <si>
    <t>Recursos por asignar</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</si>
  <si>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</si>
  <si>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</si>
  <si>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</si>
  <si>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</si>
  <si>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</si>
  <si>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</si>
  <si>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</si>
  <si>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</si>
  <si>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</si>
  <si>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</si>
  <si>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</si>
  <si>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</si>
  <si>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</si>
  <si>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</si>
  <si>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</si>
  <si>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</si>
  <si>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</si>
  <si>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r>
      <rPr>
        <b/>
        <sz val="11"/>
        <color theme="1"/>
        <rFont val="Arial"/>
        <family val="2"/>
      </rPr>
      <t>Recurso por asignar</t>
    </r>
    <r>
      <rPr>
        <sz val="11"/>
        <color theme="1"/>
        <rFont val="Arial"/>
        <family val="2"/>
      </rPr>
      <t xml:space="preserve"> "Implementar procesos comunitarios que contribuyan al fortalecimiento de capacidades en las comunidades" </t>
    </r>
  </si>
  <si>
    <t>DPR - Subdirección Territorial - Grupo de Diseño</t>
  </si>
  <si>
    <r>
      <rPr>
        <b/>
        <sz val="11"/>
        <color theme="1"/>
        <rFont val="Arial"/>
        <family val="2"/>
      </rPr>
      <t>Recurso por asigna</t>
    </r>
    <r>
      <rPr>
        <sz val="11"/>
        <color theme="1"/>
        <rFont val="Arial"/>
        <family val="2"/>
      </rPr>
      <t xml:space="preserve">r "Contratar procesos de Implementación de la estrategia de cuidado al cuidador" </t>
    </r>
  </si>
  <si>
    <t>Implementación de la estrategia de cuidado al cuidador</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</si>
  <si>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</si>
  <si>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</si>
  <si>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 Menor Cuantía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</si>
  <si>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</si>
  <si>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En Tramite</t>
  </si>
  <si>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</si>
  <si>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</si>
  <si>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</si>
  <si>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</si>
  <si>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</si>
  <si>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r>
      <rPr>
        <b/>
        <sz val="11"/>
        <color theme="1"/>
        <rFont val="Arial"/>
        <family val="2"/>
      </rPr>
      <t>Recurso por asignar</t>
    </r>
    <r>
      <rPr>
        <sz val="11"/>
        <color theme="1"/>
        <rFont val="Arial"/>
        <family val="2"/>
      </rPr>
      <t xml:space="preserve"> "Amparar la contratación del Seguro de Vida para personas acreditadas como desmovilizados por las autoridades competentes"</t>
    </r>
  </si>
  <si>
    <t>DPR - Subdirección Territorial - Equipo de Generación de Ingresos</t>
  </si>
  <si>
    <t>86101700
80111500</t>
  </si>
  <si>
    <t>Aunar recursos técnicos, humanos y financieros entre la ARN y OIM para la implementación de mecanismos de fortalecimiento y formación para el sostenimiento económico de la población objeto de atención de la ARN.</t>
  </si>
  <si>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</si>
  <si>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</si>
  <si>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</si>
  <si>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</si>
  <si>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r>
      <rPr>
        <b/>
        <sz val="11"/>
        <color theme="1"/>
        <rFont val="Arial"/>
        <family val="2"/>
      </rPr>
      <t>Recurso por asignar</t>
    </r>
    <r>
      <rPr>
        <sz val="11"/>
        <color theme="1"/>
        <rFont val="Arial"/>
        <family val="2"/>
      </rPr>
      <t xml:space="preserve">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</si>
  <si>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</si>
  <si>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</si>
  <si>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</si>
  <si>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</si>
  <si>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</si>
  <si>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</si>
  <si>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</si>
  <si>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</si>
  <si>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</si>
  <si>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Febrero</t>
  </si>
  <si>
    <t>Convenio Unidad Nacional de Protección</t>
  </si>
  <si>
    <t xml:space="preserve">Contrato </t>
  </si>
  <si>
    <t>William Fonseca Flórez</t>
  </si>
  <si>
    <t>DPR - Subdirección Territorial - Grupo de Articulación Territorial</t>
  </si>
  <si>
    <t>86111500
86111600
86121500
86141500</t>
  </si>
  <si>
    <r>
      <rPr>
        <b/>
        <sz val="11"/>
        <color theme="1"/>
        <rFont val="Arial"/>
        <family val="2"/>
      </rPr>
      <t>Recurso por asignar</t>
    </r>
    <r>
      <rPr>
        <sz val="11"/>
        <color theme="1"/>
        <rFont val="Arial"/>
        <family val="2"/>
      </rPr>
      <t xml:space="preserve"> "Contratar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r>
  </si>
  <si>
    <t xml:space="preserve">Implementación del Modelo de Educacion y Formación para Adultos                       </t>
  </si>
  <si>
    <t>Ana María Villamil</t>
  </si>
  <si>
    <t>DPR - Subdirección Territorial - Equipo de Enfoque Diferencial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</si>
  <si>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</si>
  <si>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</si>
  <si>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</si>
  <si>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</si>
  <si>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</si>
  <si>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</si>
  <si>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</si>
  <si>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</si>
  <si>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</si>
  <si>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Agosto</t>
  </si>
  <si>
    <t>Desarrollo de modelos educativos flexibles para jóvenes y adultos</t>
  </si>
  <si>
    <t>Si</t>
  </si>
  <si>
    <r>
      <rPr>
        <b/>
        <sz val="11"/>
        <color theme="1"/>
        <rFont val="Arial"/>
        <family val="2"/>
      </rPr>
      <t>Recurso por Asignar</t>
    </r>
    <r>
      <rPr>
        <sz val="11"/>
        <color theme="1"/>
        <rFont val="Arial"/>
        <family val="2"/>
      </rPr>
      <t xml:space="preserve"> "Desarrollo de modelos educativos flexibles para jóvenes y adultos (Maestro Itinerante)"</t>
    </r>
  </si>
  <si>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</si>
  <si>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</si>
  <si>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</si>
  <si>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</si>
  <si>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</si>
  <si>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</si>
  <si>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</si>
  <si>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</si>
  <si>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</si>
  <si>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</si>
  <si>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</si>
  <si>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</si>
  <si>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</si>
  <si>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</si>
  <si>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</si>
  <si>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</si>
  <si>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</si>
  <si>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</si>
  <si>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</si>
  <si>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</si>
  <si>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</si>
  <si>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</si>
  <si>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</si>
  <si>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</si>
  <si>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</si>
  <si>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</si>
  <si>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</si>
  <si>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</si>
  <si>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</si>
  <si>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</si>
  <si>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</si>
  <si>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</si>
  <si>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</si>
  <si>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</si>
  <si>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</si>
  <si>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</si>
  <si>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</si>
  <si>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</si>
  <si>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</si>
  <si>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</si>
  <si>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</si>
  <si>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Septiembre</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</si>
  <si>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</si>
  <si>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</si>
  <si>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</si>
  <si>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</si>
  <si>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</si>
  <si>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</si>
  <si>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</si>
  <si>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</si>
  <si>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</si>
  <si>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</si>
  <si>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</si>
  <si>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</si>
  <si>
    <t>Selección Abreviada - Acuerdo Marco de Precios</t>
  </si>
  <si>
    <t>Solicitadas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</si>
  <si>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</si>
  <si>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</si>
  <si>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</si>
  <si>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</si>
  <si>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</si>
  <si>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</si>
  <si>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</si>
  <si>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</si>
  <si>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rPr>
        <b/>
        <sz val="11"/>
        <color theme="1"/>
        <rFont val="Arial"/>
        <family val="2"/>
      </rPr>
      <t>Recurso por asignar</t>
    </r>
    <r>
      <rPr>
        <sz val="11"/>
        <color theme="1"/>
        <rFont val="Arial"/>
        <family val="2"/>
      </rPr>
      <t xml:space="preserve"> "Estaciones de Trabajo"</t>
    </r>
  </si>
  <si>
    <t>5932211 
Ext 10601</t>
  </si>
  <si>
    <r>
      <t xml:space="preserve">Adquisición de equipos tecnológicos (Computadores de escritorio) </t>
    </r>
    <r>
      <rPr>
        <b/>
        <sz val="11"/>
        <color theme="1"/>
        <rFont val="Arial"/>
        <family val="2"/>
      </rPr>
      <t>AMP 47891 O.C 1132</t>
    </r>
  </si>
  <si>
    <r>
      <rPr>
        <b/>
        <sz val="11"/>
        <color theme="1"/>
        <rFont val="Arial"/>
        <family val="2"/>
      </rPr>
      <t>Recurso por asignar</t>
    </r>
    <r>
      <rPr>
        <sz val="11"/>
        <color theme="1"/>
        <rFont val="Arial"/>
        <family val="2"/>
      </rPr>
      <t xml:space="preserve"> "Computadores de escritorio"</t>
    </r>
  </si>
  <si>
    <r>
      <t xml:space="preserve">Adquisición de equipos tecnológicos (Computadores Portatiles) </t>
    </r>
    <r>
      <rPr>
        <b/>
        <sz val="11"/>
        <color theme="1"/>
        <rFont val="Arial"/>
        <family val="2"/>
      </rPr>
      <t>AMP 47893 O.C 1134</t>
    </r>
  </si>
  <si>
    <r>
      <rPr>
        <b/>
        <sz val="11"/>
        <color theme="1"/>
        <rFont val="Arial"/>
        <family val="2"/>
      </rPr>
      <t xml:space="preserve">Recurso por asignar </t>
    </r>
    <r>
      <rPr>
        <sz val="11"/>
        <color theme="1"/>
        <rFont val="Arial"/>
        <family val="2"/>
      </rPr>
      <t>"Computadores Portatiles"</t>
    </r>
  </si>
  <si>
    <r>
      <t xml:space="preserve">Adquisición de dispositivos periféricos (Escáner) </t>
    </r>
    <r>
      <rPr>
        <b/>
        <sz val="11"/>
        <color theme="1"/>
        <rFont val="Arial"/>
        <family val="2"/>
      </rPr>
      <t>AMP 47894 O.C 1136</t>
    </r>
  </si>
  <si>
    <r>
      <rPr>
        <b/>
        <sz val="11"/>
        <color theme="1"/>
        <rFont val="Arial"/>
        <family val="2"/>
      </rPr>
      <t>Recurso por asignar</t>
    </r>
    <r>
      <rPr>
        <sz val="11"/>
        <color theme="1"/>
        <rFont val="Arial"/>
        <family val="2"/>
      </rPr>
      <t xml:space="preserve"> "Escáner"</t>
    </r>
  </si>
  <si>
    <r>
      <t xml:space="preserve">Adquisición de dispositivos periféricos (Impresora láser y/o multifuncional) </t>
    </r>
    <r>
      <rPr>
        <b/>
        <sz val="11"/>
        <color theme="1"/>
        <rFont val="Arial"/>
        <family val="2"/>
      </rPr>
      <t>AMP 47895 O.C 1135</t>
    </r>
  </si>
  <si>
    <r>
      <rPr>
        <b/>
        <sz val="11"/>
        <color theme="1"/>
        <rFont val="Arial"/>
        <family val="2"/>
      </rPr>
      <t xml:space="preserve">Recurso por asignar </t>
    </r>
    <r>
      <rPr>
        <sz val="11"/>
        <color theme="1"/>
        <rFont val="Arial"/>
        <family val="2"/>
      </rPr>
      <t>"Impresora láser y/o multifuncional)"</t>
    </r>
  </si>
  <si>
    <t xml:space="preserve">Servicio de resguardo y retención de backups históricos a disco </t>
  </si>
  <si>
    <t>Octubre</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</si>
  <si>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</si>
  <si>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</si>
  <si>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</si>
  <si>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</si>
  <si>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</si>
  <si>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</si>
  <si>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</si>
  <si>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Julio</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</si>
  <si>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</si>
  <si>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</si>
  <si>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</si>
  <si>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</si>
  <si>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</si>
  <si>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</si>
  <si>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</si>
  <si>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t>
  </si>
  <si>
    <t>Recurso por asignar "Renovación y/o adquisición de licencias - Solarwinds"</t>
  </si>
  <si>
    <r>
      <t xml:space="preserve">Renovación y/o adquisición de licencias - NVIVO plus edition para la ARN.  </t>
    </r>
    <r>
      <rPr>
        <b/>
        <sz val="11"/>
        <color theme="1"/>
        <rFont val="Arial"/>
        <family val="2"/>
      </rPr>
      <t>Contrato 1105 de 2020</t>
    </r>
  </si>
  <si>
    <t>Diana Parra</t>
  </si>
  <si>
    <t xml:space="preserve">Recurso por Asignar "NVIVO" </t>
  </si>
  <si>
    <t xml:space="preserve">Renovación y/o adquisición de licencias - ArcServe - para la ARN. </t>
  </si>
  <si>
    <t>Renovación y/o adquisición de licencias - Productos Microsoft 2 -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</si>
  <si>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</si>
  <si>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</si>
  <si>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</si>
  <si>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</si>
  <si>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1129 de 2020</t>
    </r>
  </si>
  <si>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</si>
  <si>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</si>
  <si>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</si>
  <si>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</si>
  <si>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</si>
  <si>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</si>
  <si>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</si>
  <si>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</si>
  <si>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</si>
  <si>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</si>
  <si>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</si>
  <si>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</si>
  <si>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</si>
  <si>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</si>
  <si>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</si>
  <si>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</si>
  <si>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</si>
  <si>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</si>
  <si>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</si>
  <si>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</si>
  <si>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</si>
  <si>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</si>
  <si>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</si>
  <si>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</si>
  <si>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</si>
  <si>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</si>
  <si>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</si>
  <si>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</si>
  <si>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t xml:space="preserve">Recurso por asignar "Adquisición de elementos de protección personal, ergonómicos" - </t>
  </si>
  <si>
    <t>93141506
91101501
49201611</t>
  </si>
  <si>
    <r>
      <rPr>
        <b/>
        <sz val="11"/>
        <color theme="1"/>
        <rFont val="Arial"/>
        <family val="2"/>
      </rPr>
      <t>Recurso por asignar</t>
    </r>
    <r>
      <rPr>
        <sz val="11"/>
        <color theme="1"/>
        <rFont val="Arial"/>
        <family val="2"/>
      </rPr>
      <t xml:space="preserve"> "Servicios de Bienestar Social (Gimnasios)" </t>
    </r>
  </si>
  <si>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</si>
  <si>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</si>
  <si>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</si>
  <si>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</si>
  <si>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</si>
  <si>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</si>
  <si>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</si>
  <si>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r>
      <rPr>
        <b/>
        <sz val="11"/>
        <color theme="1"/>
        <rFont val="Arial"/>
        <family val="2"/>
      </rPr>
      <t xml:space="preserve">Recurso por Asignar </t>
    </r>
    <r>
      <rPr>
        <sz val="11"/>
        <color theme="1"/>
        <rFont val="Arial"/>
        <family val="2"/>
      </rPr>
      <t xml:space="preserve">"Servicio de Capacitacion para funcionarios de la ARN - Congreso Contratación Estatal" </t>
    </r>
  </si>
  <si>
    <t>5932211 
Ext 10607</t>
  </si>
  <si>
    <t>Servicio de Capacitacion para funcionarios de la ARN - Congreso Derecho Procesal ICDP</t>
  </si>
  <si>
    <t>5932211 
Ext 10608</t>
  </si>
  <si>
    <t>Servicio de Capacitacion para funcionarios de la ARN - Congreso Derecho Disciplinario ICDD</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</si>
  <si>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</si>
  <si>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</si>
  <si>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</si>
  <si>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</si>
  <si>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</si>
  <si>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</si>
  <si>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</si>
  <si>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</si>
  <si>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</si>
  <si>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</si>
  <si>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r>
      <rPr>
        <b/>
        <sz val="11"/>
        <color theme="1"/>
        <rFont val="Arial"/>
        <family val="2"/>
      </rPr>
      <t xml:space="preserve">Recurso por asignar </t>
    </r>
    <r>
      <rPr>
        <sz val="11"/>
        <color theme="1"/>
        <rFont val="Arial"/>
        <family val="2"/>
      </rPr>
      <t>"Servicio para la organización, coordinación y ejecución de actividades contenidas en el Plan de Bienestar social e Incentivos.</t>
    </r>
  </si>
  <si>
    <t xml:space="preserve">Suministro Tiquetes aereos - Contrato N° 1548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</si>
  <si>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</si>
  <si>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</si>
  <si>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</si>
  <si>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</si>
  <si>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</si>
  <si>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rPr>
        <b/>
        <sz val="11"/>
        <color theme="1"/>
        <rFont val="Arial"/>
        <family val="2"/>
      </rPr>
      <t xml:space="preserve">Recurso por asignar </t>
    </r>
    <r>
      <rPr>
        <sz val="11"/>
        <color theme="1"/>
        <rFont val="Arial"/>
        <family val="2"/>
      </rPr>
      <t>"Suministro tiquetes aéreos"</t>
    </r>
  </si>
  <si>
    <t>Servicio de procesamiento de la nómina de la Entidad Contrato N° 1076 de 2020</t>
  </si>
  <si>
    <t>Soporte Software Gestión Talento Humano</t>
  </si>
  <si>
    <t>A-02-02-02-008</t>
  </si>
  <si>
    <t>42132201
42131606</t>
  </si>
  <si>
    <t>Adquisición de elementos de Bioseguridad para afrontar la emergencia por COVID-19</t>
  </si>
  <si>
    <t>A-02-02-01-003-006  
A-02-02-01-002-007
A-02-02-01-002-008</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</si>
  <si>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</si>
  <si>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</si>
  <si>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</si>
  <si>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r>
      <rPr>
        <b/>
        <sz val="11"/>
        <color theme="1"/>
        <rFont val="Arial"/>
        <family val="2"/>
      </rPr>
      <t>Recurso por asigna</t>
    </r>
    <r>
      <rPr>
        <sz val="11"/>
        <color theme="1"/>
        <rFont val="Arial"/>
        <family val="2"/>
      </rPr>
      <t>r "Servicio de apoyo, acompañamiento y orientación jurídica especializada,"</t>
    </r>
  </si>
  <si>
    <t>5932211 
Ext 10616</t>
  </si>
  <si>
    <t>Subdirección Financiera</t>
  </si>
  <si>
    <t>Adquisición de Firmas Digitales SIIF (Token)</t>
  </si>
  <si>
    <t>Adquisición de firmas digitales</t>
  </si>
  <si>
    <t>A-02-02-01-004-005</t>
  </si>
  <si>
    <t>Juan Carlos Herrán Vélez</t>
  </si>
  <si>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</si>
  <si>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</si>
  <si>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</si>
  <si>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</si>
  <si>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</si>
  <si>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</si>
  <si>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r>
      <rPr>
        <b/>
        <sz val="11"/>
        <color theme="1"/>
        <rFont val="Arial"/>
        <family val="2"/>
      </rPr>
      <t xml:space="preserve">Recurso por asignar </t>
    </r>
    <r>
      <rPr>
        <sz val="11"/>
        <color theme="1"/>
        <rFont val="Arial"/>
        <family val="2"/>
      </rPr>
      <t>"Comisión Fiduciaria para desembolso de beneficios a PPRs"</t>
    </r>
  </si>
  <si>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</si>
  <si>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</si>
  <si>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</si>
  <si>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</si>
  <si>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</si>
  <si>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</si>
  <si>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</si>
  <si>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</si>
  <si>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</si>
  <si>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</si>
  <si>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</si>
  <si>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</si>
  <si>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</si>
  <si>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</si>
  <si>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</si>
  <si>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</si>
  <si>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r>
      <rPr>
        <b/>
        <sz val="11"/>
        <color theme="1"/>
        <rFont val="Arial"/>
        <family val="2"/>
      </rPr>
      <t>Recurso por Asignar</t>
    </r>
    <r>
      <rPr>
        <sz val="11"/>
        <color theme="1"/>
        <rFont val="Arial"/>
        <family val="2"/>
      </rPr>
      <t xml:space="preserve"> "Centro de contacto Call Center"</t>
    </r>
  </si>
  <si>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</si>
  <si>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</si>
  <si>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</si>
  <si>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</si>
  <si>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</si>
  <si>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</si>
  <si>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</si>
  <si>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</si>
  <si>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</si>
  <si>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</si>
  <si>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</si>
  <si>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</si>
  <si>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</si>
  <si>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Recurso por Asignar "Acuerdo de Participación de Terceros"</t>
  </si>
  <si>
    <t>1</t>
  </si>
  <si>
    <t>444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</si>
  <si>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</si>
  <si>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</si>
  <si>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Recurso por Asignar "Contrato de seguros ETCR"</t>
  </si>
  <si>
    <t>Antiguos ETCR - Póliza aseguramiento bienes                                                              Administración de los ETCR</t>
  </si>
  <si>
    <t>Grupo de Almacen e Inventarios</t>
  </si>
  <si>
    <t>Adquisicion de la actualización, soporte y mantenimiento técnico a la licencia Aladino Windows SQL Seerver para la gestión y control de inventarios de los bienes muebles de la Agencia para la Reincorporación y Normalización ARN</t>
  </si>
  <si>
    <t xml:space="preserve">Actualizacion del aplicativo  Aladino </t>
  </si>
  <si>
    <t xml:space="preserve">A-02-02-02-008 </t>
  </si>
  <si>
    <t xml:space="preserve">Sandra Mayerly Avendano Blanco </t>
  </si>
  <si>
    <t>44121600
44121700
44121800
44122100
44122000</t>
  </si>
  <si>
    <t>Suministro de útiles de oficina</t>
  </si>
  <si>
    <t>Suministro de Papeleria ARN
Costos Programa de Reincorporación Económica y social (Administrativo)</t>
  </si>
  <si>
    <t>A-03-03-01-001
A-03-03-01-001</t>
  </si>
  <si>
    <t>Suministro de papelería</t>
  </si>
  <si>
    <t>A-03-03-01-001
A-03-03-01-002</t>
  </si>
  <si>
    <t>Suministro de Tóner</t>
  </si>
  <si>
    <t>Suministro de Papeleria ARN     
Costos Programa de Reincorporación Económica y social (Administrativo)</t>
  </si>
  <si>
    <t xml:space="preserve">A-03-03-01-001 </t>
  </si>
  <si>
    <t>Suministro de Tóner para la ARN</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</si>
  <si>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</si>
  <si>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</si>
  <si>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</si>
  <si>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</si>
  <si>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</si>
  <si>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</si>
  <si>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</si>
  <si>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</si>
  <si>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41115300 
41115309 
41112215 
41112300 
41112303 
21101800 
21101805 
52141800 
52141533 
60105700 
60105705 
60121100 
60121146_x000B_41112301_x000B_41112223</t>
  </si>
  <si>
    <r>
      <rPr>
        <b/>
        <sz val="11"/>
        <color theme="1"/>
        <rFont val="Arial"/>
        <family val="2"/>
      </rPr>
      <t xml:space="preserve">Recurso por Asignar </t>
    </r>
    <r>
      <rPr>
        <sz val="11"/>
        <color theme="1"/>
        <rFont val="Arial"/>
        <family val="2"/>
      </rPr>
      <t xml:space="preserve">"Adquisición de  equipos de monitoreo, para conservación documental" </t>
    </r>
  </si>
  <si>
    <t>A-02-01-01-004-005</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</si>
  <si>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</si>
  <si>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</si>
  <si>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</si>
  <si>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1532 de 2020</t>
    </r>
  </si>
  <si>
    <r>
      <rPr>
        <b/>
        <sz val="11"/>
        <color theme="1"/>
        <rFont val="Arial"/>
        <family val="2"/>
      </rPr>
      <t>Recurso por Asignar</t>
    </r>
    <r>
      <rPr>
        <sz val="11"/>
        <color theme="1"/>
        <rFont val="Arial"/>
        <family val="2"/>
      </rPr>
      <t xml:space="preserve"> "Alquiler bodega"  </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</si>
  <si>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</si>
  <si>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</si>
  <si>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</si>
  <si>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r>
      <rPr>
        <b/>
        <sz val="11"/>
        <color theme="1"/>
        <rFont val="Arial"/>
        <family val="2"/>
      </rPr>
      <t>Recurso por Asignar</t>
    </r>
    <r>
      <rPr>
        <sz val="11"/>
        <color theme="1"/>
        <rFont val="Arial"/>
        <family val="2"/>
      </rPr>
      <t xml:space="preserve"> "Servicios postales de correspondencia" </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</si>
  <si>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</si>
  <si>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</si>
  <si>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</si>
  <si>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</si>
  <si>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</si>
  <si>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</si>
  <si>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</si>
  <si>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r>
      <rPr>
        <b/>
        <sz val="11"/>
        <color theme="1"/>
        <rFont val="Arial"/>
        <family val="2"/>
      </rPr>
      <t>Recurso por asignar</t>
    </r>
    <r>
      <rPr>
        <sz val="11"/>
        <color theme="1"/>
        <rFont val="Arial"/>
        <family val="2"/>
      </rPr>
      <t xml:space="preserve"> "Suministro de combustible"</t>
    </r>
  </si>
  <si>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</si>
  <si>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</si>
  <si>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</si>
  <si>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</si>
  <si>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</si>
  <si>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</si>
  <si>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</si>
  <si>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</si>
  <si>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</si>
  <si>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</si>
  <si>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</si>
  <si>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</si>
  <si>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</si>
  <si>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</si>
  <si>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</si>
  <si>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</si>
  <si>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</si>
  <si>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</si>
  <si>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</si>
  <si>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</si>
  <si>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</si>
  <si>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</si>
  <si>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 xml:space="preserve">Recurso por asignar: Aseo, cafetería y mantenimiento </t>
  </si>
  <si>
    <t>A-02-02-02-008
A-02-02-02-001</t>
  </si>
  <si>
    <t>95121503
72101508
76101503</t>
  </si>
  <si>
    <r>
      <t xml:space="preserve">Aseo, cafetería y Mantenimiento –Regional 6 y Regional 7 </t>
    </r>
    <r>
      <rPr>
        <b/>
        <sz val="11"/>
        <color theme="1"/>
        <rFont val="Arial"/>
        <family val="2"/>
      </rPr>
      <t>Contrato N° 1112 de 2020-Contrato N° 1113 de 2020</t>
    </r>
  </si>
  <si>
    <t>marzo</t>
  </si>
  <si>
    <t>95121503
72101508
76101504</t>
  </si>
  <si>
    <t>Recurso por Asignar "Aseo, cafetería y Mantenimiento –R6 y R"</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</si>
  <si>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</si>
  <si>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</si>
  <si>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</si>
  <si>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</si>
  <si>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</si>
  <si>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</si>
  <si>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</si>
  <si>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</si>
  <si>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</si>
  <si>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</si>
  <si>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Diciembre</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</si>
  <si>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</si>
  <si>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</si>
  <si>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</si>
  <si>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</si>
  <si>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</si>
  <si>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</si>
  <si>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</si>
  <si>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</si>
  <si>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</si>
  <si>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</si>
  <si>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</si>
  <si>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</si>
  <si>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</si>
  <si>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</si>
  <si>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</si>
  <si>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</si>
  <si>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</si>
  <si>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</si>
  <si>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</si>
  <si>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</si>
  <si>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</si>
  <si>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</si>
  <si>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</si>
  <si>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</si>
  <si>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</si>
  <si>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</si>
  <si>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</si>
  <si>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</si>
  <si>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</si>
  <si>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</si>
  <si>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</si>
  <si>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</si>
  <si>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</si>
  <si>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</si>
  <si>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</si>
  <si>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</si>
  <si>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</si>
  <si>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</si>
  <si>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rPr>
        <b/>
        <sz val="11"/>
        <color theme="1"/>
        <rFont val="Arial"/>
        <family val="2"/>
      </rPr>
      <t>Recurso por asigna</t>
    </r>
    <r>
      <rPr>
        <sz val="11"/>
        <color theme="1"/>
        <rFont val="Arial"/>
        <family val="2"/>
      </rPr>
      <t>r "Contratos de arrendamiento Grupos Territoriales"</t>
    </r>
  </si>
  <si>
    <t>Adecuación de los inmuebles donde funciona las sedes de la Entidad</t>
  </si>
  <si>
    <t xml:space="preserve">Abril  </t>
  </si>
  <si>
    <t>Adecuaciones de las sedes de la ARN</t>
  </si>
  <si>
    <t>A-03-03-01-001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</si>
  <si>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</si>
  <si>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</si>
  <si>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</si>
  <si>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Recurso por Asignar "ADQUISICIÓN DE MOBILIARIO"</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</si>
  <si>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</si>
  <si>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</si>
  <si>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</si>
  <si>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</si>
  <si>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</si>
  <si>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</si>
  <si>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</si>
  <si>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</si>
  <si>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</si>
  <si>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r>
      <t xml:space="preserve">Ferreteria </t>
    </r>
    <r>
      <rPr>
        <b/>
        <sz val="11"/>
        <color theme="1"/>
        <rFont val="Arial"/>
        <family val="2"/>
      </rPr>
      <t>Contrato N° 1160 de 2020</t>
    </r>
  </si>
  <si>
    <t>Adquisición elementos de Ferreteria</t>
  </si>
  <si>
    <t>72101500
40101701
72151207</t>
  </si>
  <si>
    <t>Compra, instalación y mantenimiento de aires acondicionados y ventiladores</t>
  </si>
  <si>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</si>
  <si>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</si>
  <si>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</si>
  <si>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</si>
  <si>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</si>
  <si>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t>Contratación Seguros de Vehículos de la Entidad OC 47989 de 2020</t>
  </si>
  <si>
    <t>Año</t>
  </si>
  <si>
    <r>
      <rPr>
        <b/>
        <sz val="11"/>
        <color theme="1"/>
        <rFont val="Arial"/>
        <family val="2"/>
      </rPr>
      <t>Recurso por asignar</t>
    </r>
    <r>
      <rPr>
        <sz val="11"/>
        <color theme="1"/>
        <rFont val="Arial"/>
        <family val="2"/>
      </rPr>
      <t xml:space="preserve"> "Contratación Seguros" </t>
    </r>
  </si>
  <si>
    <t>Contratación Seguros de la Entidad Poliza todo daño materiales -grupos territoriales- Contrato 1139 de 2020</t>
  </si>
  <si>
    <t>A-02-02-02-007                     A-03-03-01-002</t>
  </si>
  <si>
    <r>
      <rPr>
        <b/>
        <sz val="11"/>
        <color theme="1"/>
        <rFont val="Arial"/>
        <family val="2"/>
      </rPr>
      <t>Recurso por asignar</t>
    </r>
    <r>
      <rPr>
        <sz val="11"/>
        <color theme="1"/>
        <rFont val="Arial"/>
        <family val="2"/>
      </rPr>
      <t xml:space="preserve"> "Contratación Seguros de la Entidad Poliza todo daño materiales -grupos territoriales"-</t>
    </r>
  </si>
  <si>
    <t>Adquisición de dispensadores de Agua - Adquisición de filtros de agua</t>
  </si>
  <si>
    <t>Extintores</t>
  </si>
  <si>
    <t>Rampas portátiles</t>
  </si>
  <si>
    <t xml:space="preserve">76122304
76122203
76122404
76121903                   </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</si>
  <si>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</si>
  <si>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</si>
  <si>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</si>
  <si>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</si>
  <si>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</si>
  <si>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</si>
  <si>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</si>
  <si>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r>
      <rPr>
        <b/>
        <sz val="11"/>
        <color theme="1"/>
        <rFont val="Arial"/>
        <family val="2"/>
      </rPr>
      <t>Recurso por Asignar</t>
    </r>
    <r>
      <rPr>
        <sz val="11"/>
        <color theme="1"/>
        <rFont val="Arial"/>
        <family val="2"/>
      </rPr>
      <t xml:space="preserve"> "Adquisición de contenedores para acopio de respel".</t>
    </r>
  </si>
  <si>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</si>
  <si>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</si>
  <si>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</si>
  <si>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</si>
  <si>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</si>
  <si>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</si>
  <si>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</si>
  <si>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</si>
  <si>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</si>
  <si>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</si>
  <si>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</si>
  <si>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t>Recurso por asignar  "Seguimiento a los contenidos publicados en medios de comunicación" Contrato N° 1146</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</si>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</sst>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8" formatCode="[$$-240A]\ #,##0.00"/>
    <numFmt numFmtId="169" formatCode="mmm\-\ yyyy;@"/>
    <numFmt numFmtId="170" formatCode="_-&quot;$&quot;\ * #,##0.00_-;\-&quot;$&quot;\ * #,##0.00_-;_-&quot;$&quot;\ * &quot;-&quot;??_-;_-@_-"/>
    <numFmt numFmtId="171" formatCode="0.0"/>
    <numFmt numFmtId="172" formatCode="[$-F800]dddd\,\ mmmm\ dd\,\ yyyy"/>
  </numFmts>
  <fonts count="17"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sz val="11"/>
      <color rgb="FFFF0000"/>
      <name val="Arial"/>
      <family val="2"/>
    </font>
    <font>
      <sz val="11"/>
      <color rgb="FF1F497D"/>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43">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3" fontId="9" fillId="3" borderId="1" xfId="7"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wrapText="1"/>
    </xf>
    <xf numFmtId="49" fontId="9" fillId="3" borderId="1" xfId="7" applyFont="1" applyFill="1" applyBorder="1" applyAlignment="1" applyProtection="1">
      <alignment horizontal="center" vertical="center" wrapText="1"/>
    </xf>
    <xf numFmtId="14" fontId="9" fillId="8" borderId="1" xfId="9" applyNumberFormat="1" applyFont="1" applyFill="1" applyBorder="1" applyAlignment="1">
      <alignment vertical="center" wrapText="1"/>
    </xf>
    <xf numFmtId="0" fontId="9" fillId="3" borderId="1" xfId="0" applyNumberFormat="1" applyFont="1" applyFill="1" applyBorder="1" applyAlignment="1">
      <alignment horizontal="center" vertical="center" wrapText="1" readingOrder="1"/>
    </xf>
    <xf numFmtId="0" fontId="9" fillId="3" borderId="1" xfId="7" applyNumberFormat="1" applyFont="1" applyFill="1" applyBorder="1" applyAlignment="1" applyProtection="1">
      <alignment horizontal="center" vertical="center" wrapText="1"/>
      <protection locked="0"/>
    </xf>
    <xf numFmtId="0" fontId="9" fillId="8" borderId="1" xfId="9" applyFont="1" applyFill="1" applyBorder="1" applyAlignment="1">
      <alignment horizontal="justify" vertical="center" wrapText="1"/>
    </xf>
    <xf numFmtId="0" fontId="9" fillId="3" borderId="1" xfId="0" applyFont="1" applyFill="1" applyBorder="1" applyAlignment="1">
      <alignment horizontal="center" vertical="center" wrapText="1"/>
    </xf>
    <xf numFmtId="164" fontId="9" fillId="3" borderId="1" xfId="3"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166" fontId="9" fillId="3" borderId="1" xfId="7"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9" fillId="8" borderId="1" xfId="9" applyFont="1" applyFill="1" applyBorder="1" applyAlignment="1">
      <alignment horizontal="center" vertical="center"/>
    </xf>
    <xf numFmtId="166" fontId="7" fillId="3" borderId="1" xfId="7" applyNumberFormat="1" applyFont="1" applyFill="1" applyBorder="1" applyAlignment="1" applyProtection="1">
      <alignment horizontal="center" vertical="center" wrapText="1"/>
      <protection locked="0"/>
    </xf>
    <xf numFmtId="168" fontId="9" fillId="3" borderId="1" xfId="7" applyNumberFormat="1" applyFont="1" applyFill="1" applyBorder="1" applyAlignment="1" applyProtection="1">
      <alignment horizontal="center" vertical="center" wrapText="1"/>
      <protection locked="0"/>
    </xf>
    <xf numFmtId="49" fontId="9" fillId="3" borderId="1" xfId="7"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9" fillId="3" borderId="1" xfId="7" applyNumberFormat="1" applyFont="1" applyFill="1" applyBorder="1" applyAlignment="1">
      <alignment horizontal="center" vertical="center" wrapText="1"/>
    </xf>
    <xf numFmtId="169" fontId="9" fillId="8" borderId="1" xfId="9" applyNumberFormat="1" applyFont="1" applyFill="1" applyBorder="1" applyAlignment="1">
      <alignment horizontal="center" vertical="center" wrapText="1"/>
    </xf>
    <xf numFmtId="0" fontId="9" fillId="3" borderId="1" xfId="9"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applyAlignment="1">
      <alignment vertical="center"/>
    </xf>
    <xf numFmtId="169" fontId="9" fillId="3" borderId="1" xfId="9"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164" fontId="9" fillId="3" borderId="1" xfId="3" applyNumberFormat="1" applyFont="1" applyFill="1" applyBorder="1" applyAlignment="1">
      <alignment horizontal="center" vertical="center" wrapText="1"/>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2" fillId="3" borderId="1" xfId="5" applyFont="1" applyFill="1" applyBorder="1" applyAlignment="1" applyProtection="1">
      <alignment vertical="center"/>
    </xf>
    <xf numFmtId="0" fontId="9" fillId="3" borderId="1" xfId="0" applyFont="1" applyFill="1" applyBorder="1" applyAlignment="1">
      <alignment horizontal="center"/>
    </xf>
    <xf numFmtId="164" fontId="9" fillId="3" borderId="1" xfId="3" applyFont="1" applyFill="1" applyBorder="1" applyAlignment="1">
      <alignment horizontal="center" vertical="center" wrapText="1" readingOrder="1"/>
    </xf>
    <xf numFmtId="165" fontId="9" fillId="3" borderId="1" xfId="1" applyFont="1" applyFill="1" applyBorder="1" applyAlignment="1">
      <alignment vertical="center"/>
    </xf>
    <xf numFmtId="170" fontId="9" fillId="3"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5" applyNumberFormat="1" applyFont="1" applyFill="1" applyBorder="1" applyAlignment="1" applyProtection="1">
      <alignment horizontal="center" vertical="center"/>
    </xf>
    <xf numFmtId="0" fontId="9" fillId="3" borderId="1" xfId="0" applyNumberFormat="1" applyFont="1" applyFill="1" applyBorder="1" applyAlignment="1">
      <alignment horizontal="center" vertical="center"/>
    </xf>
    <xf numFmtId="17" fontId="9" fillId="8" borderId="1" xfId="9" applyNumberFormat="1" applyFont="1" applyFill="1" applyBorder="1" applyAlignment="1" applyProtection="1">
      <alignment horizontal="center" vertical="center" wrapText="1"/>
    </xf>
    <xf numFmtId="0" fontId="9" fillId="8" borderId="1" xfId="10"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2"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0" fontId="3" fillId="8" borderId="1" xfId="9" applyFont="1" applyFill="1" applyBorder="1" applyAlignment="1">
      <alignment horizontal="center" vertical="center" wrapText="1"/>
    </xf>
    <xf numFmtId="17" fontId="9" fillId="8" borderId="1" xfId="10" applyNumberFormat="1" applyFont="1" applyFill="1" applyBorder="1" applyAlignment="1">
      <alignment horizontal="center" vertical="center" wrapText="1"/>
    </xf>
    <xf numFmtId="171"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3" fontId="9" fillId="3" borderId="1" xfId="7" applyNumberFormat="1" applyFont="1" applyFill="1" applyBorder="1" applyAlignment="1" applyProtection="1">
      <alignment horizontal="right" vertical="center" wrapText="1"/>
      <protection locked="0"/>
    </xf>
    <xf numFmtId="0" fontId="9" fillId="3" borderId="1" xfId="7" applyNumberFormat="1" applyFont="1" applyFill="1" applyBorder="1" applyAlignment="1" applyProtection="1">
      <alignment horizontal="centerContinuous" vertical="center"/>
      <protection locked="0"/>
    </xf>
    <xf numFmtId="49" fontId="9" fillId="3" borderId="1" xfId="7"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4"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4" fontId="9" fillId="8" borderId="1" xfId="9" applyNumberFormat="1" applyFont="1" applyFill="1" applyBorder="1" applyAlignment="1">
      <alignment horizontal="center" vertical="center" wrapText="1"/>
    </xf>
    <xf numFmtId="0" fontId="9" fillId="8" borderId="1" xfId="9" applyNumberFormat="1" applyFont="1" applyFill="1" applyBorder="1" applyAlignment="1">
      <alignment vertical="center" wrapText="1"/>
    </xf>
    <xf numFmtId="164" fontId="7" fillId="3" borderId="1" xfId="3" applyFont="1" applyFill="1" applyBorder="1" applyAlignment="1">
      <alignment horizontal="center" vertical="center" wrapText="1"/>
    </xf>
    <xf numFmtId="0" fontId="9" fillId="3" borderId="1" xfId="8" applyFont="1" applyFill="1" applyBorder="1" applyAlignment="1" applyProtection="1">
      <alignment horizontal="left" vertical="center" wrapText="1"/>
    </xf>
    <xf numFmtId="1" fontId="9" fillId="8" borderId="1" xfId="9" applyNumberFormat="1" applyFont="1" applyFill="1" applyBorder="1" applyAlignment="1">
      <alignment horizontal="center" vertical="center" wrapText="1"/>
    </xf>
    <xf numFmtId="0" fontId="9" fillId="3" borderId="1" xfId="4" applyFont="1" applyFill="1" applyBorder="1" applyAlignment="1">
      <alignment vertical="center"/>
    </xf>
    <xf numFmtId="14" fontId="9" fillId="3" borderId="1" xfId="9" applyNumberFormat="1" applyFont="1" applyFill="1" applyBorder="1" applyAlignment="1">
      <alignment vertical="center" wrapText="1"/>
    </xf>
    <xf numFmtId="14" fontId="10" fillId="3" borderId="1" xfId="9" applyNumberFormat="1" applyFont="1" applyFill="1" applyBorder="1" applyAlignment="1">
      <alignment horizontal="center" vertical="center" wrapText="1"/>
    </xf>
    <xf numFmtId="17" fontId="9" fillId="3" borderId="1" xfId="9"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49" fontId="9" fillId="3" borderId="1" xfId="7" applyFont="1" applyFill="1" applyBorder="1" applyAlignment="1" applyProtection="1">
      <alignment horizontal="left" vertical="center" wrapText="1"/>
      <protection locked="0"/>
    </xf>
    <xf numFmtId="49" fontId="3" fillId="3" borderId="1" xfId="7" applyFont="1" applyFill="1" applyBorder="1" applyAlignment="1" applyProtection="1">
      <alignment horizontal="center" vertical="center" wrapText="1"/>
      <protection locked="0"/>
    </xf>
    <xf numFmtId="0" fontId="3" fillId="3" borderId="1" xfId="9" applyFont="1" applyFill="1" applyBorder="1" applyAlignment="1">
      <alignment horizontal="center" vertical="center" wrapText="1"/>
    </xf>
    <xf numFmtId="0" fontId="3" fillId="3" borderId="1" xfId="9" applyFont="1" applyFill="1" applyBorder="1" applyAlignment="1">
      <alignment vertical="center" wrapText="1"/>
    </xf>
    <xf numFmtId="15" fontId="3" fillId="3" borderId="1" xfId="9" applyNumberFormat="1" applyFont="1" applyFill="1" applyBorder="1" applyAlignment="1">
      <alignment horizontal="left" vertical="center" wrapText="1"/>
    </xf>
    <xf numFmtId="17" fontId="3" fillId="3" borderId="1" xfId="9" applyNumberFormat="1" applyFont="1" applyFill="1" applyBorder="1" applyAlignment="1">
      <alignment horizontal="center" vertical="center" wrapText="1"/>
    </xf>
    <xf numFmtId="49" fontId="3" fillId="3" borderId="1" xfId="7" applyFont="1" applyFill="1" applyBorder="1" applyAlignment="1" applyProtection="1">
      <alignment horizontal="center" vertical="center"/>
      <protection locked="0"/>
    </xf>
    <xf numFmtId="166" fontId="3" fillId="3" borderId="1" xfId="1" applyNumberFormat="1" applyFont="1" applyFill="1" applyBorder="1" applyAlignment="1">
      <alignment horizontal="center" vertical="center" wrapText="1"/>
    </xf>
    <xf numFmtId="166" fontId="3" fillId="3" borderId="1" xfId="7" applyNumberFormat="1" applyFont="1" applyFill="1" applyBorder="1" applyAlignment="1" applyProtection="1">
      <alignment horizontal="right" vertical="center" wrapText="1"/>
      <protection locked="0"/>
    </xf>
    <xf numFmtId="166" fontId="3" fillId="3" borderId="1" xfId="7" applyNumberFormat="1" applyFont="1" applyFill="1" applyBorder="1" applyAlignment="1" applyProtection="1">
      <alignment horizontal="center" vertical="center" wrapText="1"/>
      <protection locked="0"/>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167" fontId="9" fillId="3" borderId="1" xfId="3" applyNumberFormat="1" applyFont="1" applyFill="1" applyBorder="1" applyAlignment="1" applyProtection="1">
      <alignment horizontal="center" vertical="center" wrapText="1"/>
      <protection locked="0"/>
    </xf>
    <xf numFmtId="0" fontId="13" fillId="8" borderId="1" xfId="10" applyFont="1" applyFill="1" applyBorder="1" applyAlignment="1">
      <alignment horizontal="left" vertical="center" wrapText="1"/>
    </xf>
    <xf numFmtId="172" fontId="10" fillId="8" borderId="1" xfId="9" applyNumberFormat="1" applyFont="1" applyFill="1" applyBorder="1" applyAlignment="1">
      <alignment horizontal="center" vertical="center" wrapText="1"/>
    </xf>
    <xf numFmtId="49" fontId="9" fillId="3" borderId="5" xfId="7" applyFont="1" applyFill="1" applyBorder="1" applyAlignment="1" applyProtection="1">
      <alignment horizontal="center" vertical="center" wrapText="1"/>
      <protection locked="0"/>
    </xf>
    <xf numFmtId="0" fontId="9" fillId="8" borderId="6" xfId="9" applyFont="1" applyFill="1" applyBorder="1" applyAlignment="1">
      <alignment horizontal="center" wrapText="1"/>
    </xf>
    <xf numFmtId="0" fontId="9" fillId="8" borderId="6" xfId="9" applyFont="1" applyFill="1" applyBorder="1" applyAlignment="1">
      <alignment vertical="center" wrapText="1"/>
    </xf>
    <xf numFmtId="14" fontId="10" fillId="8" borderId="6" xfId="9" applyNumberFormat="1" applyFont="1" applyFill="1" applyBorder="1" applyAlignment="1">
      <alignment horizontal="center" vertical="center" wrapText="1"/>
    </xf>
    <xf numFmtId="49" fontId="9" fillId="3" borderId="6" xfId="7"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7" applyNumberFormat="1" applyFont="1" applyFill="1" applyBorder="1" applyAlignment="1" applyProtection="1">
      <alignment horizontal="center" vertical="center" wrapText="1"/>
      <protection locked="0"/>
    </xf>
    <xf numFmtId="0" fontId="9" fillId="8" borderId="6" xfId="9" applyFont="1" applyFill="1" applyBorder="1" applyAlignment="1">
      <alignment horizontal="center" vertical="center" wrapText="1"/>
    </xf>
    <xf numFmtId="166" fontId="9" fillId="3" borderId="6" xfId="7"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7" applyNumberFormat="1" applyFont="1" applyFill="1" applyBorder="1" applyAlignment="1" applyProtection="1">
      <alignment horizontal="center" vertical="center" wrapText="1"/>
      <protection locked="0"/>
    </xf>
    <xf numFmtId="49" fontId="12" fillId="3" borderId="6" xfId="5" applyNumberFormat="1" applyFont="1" applyFill="1" applyBorder="1" applyAlignment="1" applyProtection="1">
      <alignment horizontal="left" vertical="center"/>
    </xf>
  </cellXfs>
  <cellStyles count="13">
    <cellStyle name="BodyStyle" xfId="7" xr:uid="{6E45C63E-3C48-4F88-BB77-9538C2551C10}"/>
    <cellStyle name="Bueno" xfId="4" builtinId="26"/>
    <cellStyle name="HeaderStyle" xfId="8" xr:uid="{75A289D8-3429-48F2-9DC2-415482C421D5}"/>
    <cellStyle name="Hipervínculo" xfId="5" builtinId="8"/>
    <cellStyle name="Hipervínculo 2" xfId="11" xr:uid="{679C1E26-5F37-4A3F-AED9-CA55F33C6B30}"/>
    <cellStyle name="MainTitle" xfId="6" xr:uid="{2B62ED28-71E1-4B8A-BB1D-C48047615F13}"/>
    <cellStyle name="Millares [0]" xfId="1" builtinId="6"/>
    <cellStyle name="Millares [0] 3" xfId="12" xr:uid="{06DD01BD-F9D6-4288-9C37-825F20D70F16}"/>
    <cellStyle name="Moneda" xfId="2" builtinId="4"/>
    <cellStyle name="Moneda [0]" xfId="3" builtinId="7"/>
    <cellStyle name="Normal" xfId="0" builtinId="0"/>
    <cellStyle name="Normal 2" xfId="9" xr:uid="{81E133EA-C016-4554-B619-FC793EEE2A47}"/>
    <cellStyle name="Normal 2 2" xfId="10" xr:uid="{33A22E67-8651-406B-9ABF-7256B26DEA36}"/>
  </cellStyles>
  <dxfs count="32">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3"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C27535-47B4-44D8-B5A2-4AF37394E860}" name="Tabla1" displayName="Tabla1" ref="A5:AA214" totalsRowShown="0" headerRowDxfId="31" dataDxfId="0" headerRowBorderDxfId="30" tableBorderDxfId="29" totalsRowBorderDxfId="28" headerRowCellStyle="BodyStyle" dataCellStyle="BodyStyle">
  <autoFilter ref="A5:AA214" xr:uid="{2034EC0D-FD8C-4126-9C63-8449CE21BD15}"/>
  <tableColumns count="27">
    <tableColumn id="1" xr3:uid="{5E3731C5-902F-4D27-AD00-0A6AB783719C}" name="Dependencia Responsable (Selección la que corresponde)" dataDxfId="27" dataCellStyle="BodyStyle"/>
    <tableColumn id="2" xr3:uid="{17CE76EC-89C3-4105-B26B-76BAA8C460B9}" name="Código UNSPSC (cada código separado por ;)" dataDxfId="26" dataCellStyle="Normal 2"/>
    <tableColumn id="3" xr3:uid="{12B48CCD-D062-487B-B267-BF9210FE4C1B}" name="Descripción (bien o servicio requerido a contratar)" dataDxfId="25" dataCellStyle="Normal 2"/>
    <tableColumn id="25" xr3:uid="{BC46635E-5158-4956-BA75-F2CC574D91D1}" name="Fecha Terminación en 2020 de los _x000a_Contratos Vf del 2018, 2019 " dataDxfId="24" dataCellStyle="Normal 2"/>
    <tableColumn id="4" xr3:uid="{FD46E95E-5406-429C-B852-563C39A0AAC9}" name="Fecha estimada de radicación en el GGC para iniciar Estudio de Mercado" dataDxfId="23" dataCellStyle="Normal 2"/>
    <tableColumn id="5" xr3:uid="{A461228E-A675-4DA3-9916-38A33214310E}" name="Fecha (mes) estimada de inicio de proceso de selección (Publicación Proyecto Pliego)" dataDxfId="22" dataCellStyle="Normal 2"/>
    <tableColumn id="6" xr3:uid="{E29D871A-9E2E-40A2-BE2D-D949C45DA37B}" name="Fecha (mes)  estimada de presentación de ofertas (Cierre del proceso)" dataDxfId="21" dataCellStyle="Normal 2"/>
    <tableColumn id="7" xr3:uid="{DC40C587-93A1-4185-AD02-BB1491F706C2}" name="Duración estimada del contrato (número de Meses o días)" dataDxfId="20"/>
    <tableColumn id="8" xr3:uid="{A90632A6-2240-4B10-BA51-3A2DE7883195}" name="Duración estimada del contrato (intervalo: días, Meses, años)" dataDxfId="19" dataCellStyle="Millares [0]"/>
    <tableColumn id="9" xr3:uid="{AD7DECD1-5A24-4899-96D3-DD522B61FB6F}" name="Modalidad de selección (seleccione)" dataDxfId="18" dataCellStyle="Normal 2"/>
    <tableColumn id="10" xr3:uid="{03D9710C-1E22-49F1-AAE2-7596B75A4256}" name="Descripción de la Actividad (según clasificación del presupuesto)" dataDxfId="17" dataCellStyle="BodyStyle"/>
    <tableColumn id="11" xr3:uid="{A6FA409D-2DB5-47DC-B9DF-997C457D3362}" name="Rubro presupuesto" dataDxfId="16" dataCellStyle="Normal 2"/>
    <tableColumn id="12" xr3:uid="{A293D1CC-723D-49B9-B432-FB130D58D412}" name="Valor estimado Asignado a Contratar _x000a_(Incluya el valor total de la Contratación si tiene Vigencia Futura. De lo contrario, este valor debe ser igual al de la siguiente columna)" dataDxfId="15" dataCellStyle="Moneda [0]">
      <calculatedColumnFormula>+N6+Q6+R6</calculatedColumnFormula>
    </tableColumn>
    <tableColumn id="13" xr3:uid="{47102D61-5F33-435A-A599-0DDDF922DFED}" name="Valor estimado en la vigencia actual" dataDxfId="14" dataCellStyle="Moneda [0]">
      <calculatedColumnFormula>+O6+P6</calculatedColumnFormula>
    </tableColumn>
    <tableColumn id="14" xr3:uid="{C27ECDB2-0D7F-4E3D-B7E9-9555EAACDB06}" name="Fuente de los recursos (reintegración de la vigencia actual)" dataDxfId="13" dataCellStyle="Moneda [0]"/>
    <tableColumn id="15" xr3:uid="{F14B3C8C-F97F-4156-A2D1-A0671F56F7D4}" name="Fuente de los recursos (reincorporación de la vigencia actual)" dataDxfId="12" dataCellStyle="Moneda [0]"/>
    <tableColumn id="27" xr3:uid="{5239308C-C06E-4CF7-BA19-BFB77E7276AA}" name="Valor 2021" dataDxfId="11" dataCellStyle="Moneda [0]">
      <calculatedColumnFormula>5262916643</calculatedColumnFormula>
    </tableColumn>
    <tableColumn id="28" xr3:uid="{E746FAAD-DF6E-47A5-A473-921BD933A1D8}" name="Valor 2022" dataDxfId="10" dataCellStyle="Moneda [0]"/>
    <tableColumn id="16" xr3:uid="{10E988A3-21DB-4000-A724-D5209545F7A5}" name="¿Se requieren vigencias futuras?" dataDxfId="9" dataCellStyle="BodyStyle"/>
    <tableColumn id="17" xr3:uid="{2970B617-41E9-41B2-9F71-1CC61A848BDC}" name="Estado de solicitud de vigencias futuras" dataDxfId="8" dataCellStyle="BodyStyle"/>
    <tableColumn id="29" xr3:uid="{803E50DF-27B7-4446-8B38-6D8006C876B4}" name="Estado" dataDxfId="7" dataCellStyle="BodyStyle"/>
    <tableColumn id="18" xr3:uid="{93019667-CF9F-41B3-AA47-FF62F0B6262E}" name="Nombre del Responsable en la Dependencia" dataDxfId="6" dataCellStyle="BodyStyle"/>
    <tableColumn id="19" xr3:uid="{D730316D-C81E-472A-A55A-70B6D6857C66}" name="Unidad de contratación (Grupo de Gestión Contractual)" dataDxfId="5" dataCellStyle="BodyStyle"/>
    <tableColumn id="20" xr3:uid="{64E892D1-EF7D-4F71-A852-E1DDAF168A11}" name="Ubicación" dataDxfId="4" dataCellStyle="BodyStyle"/>
    <tableColumn id="21" xr3:uid="{71BD1F11-9F6F-4C5D-A4F8-1AD7F7A7B974}" name="Nombre del responsable " dataDxfId="3" dataCellStyle="BodyStyle"/>
    <tableColumn id="22" xr3:uid="{7E085953-B8B6-4044-885B-3217698BA500}" name="Teléfono del responsable " dataDxfId="2" dataCellStyle="BodyStyle"/>
    <tableColumn id="23" xr3:uid="{38277A61-B29D-4CAE-A206-58C70A308F6E}"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12" Type="http://schemas.openxmlformats.org/officeDocument/2006/relationships/comments" Target="../comments1.xml"/><Relationship Id="rId16" Type="http://schemas.openxmlformats.org/officeDocument/2006/relationships/hyperlink" Target="mailto:javiermosquera@reincorporacion.gov.co" TargetMode="External"/><Relationship Id="rId107"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102"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hyperlink" Target="mailto:javiermosquera@reincorporacion.gov.co" TargetMode="External"/><Relationship Id="rId95"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103" Type="http://schemas.openxmlformats.org/officeDocument/2006/relationships/hyperlink" Target="mailto:javiermosquera@reincorporacion.gov.co" TargetMode="External"/><Relationship Id="rId108"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91" Type="http://schemas.openxmlformats.org/officeDocument/2006/relationships/hyperlink" Target="mailto:javiermosquera@reincorporacion.gov.co" TargetMode="External"/><Relationship Id="rId96"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6"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94" Type="http://schemas.openxmlformats.org/officeDocument/2006/relationships/hyperlink" Target="mailto:javiermosquera@reincorporacion.gov.co" TargetMode="External"/><Relationship Id="rId99" Type="http://schemas.openxmlformats.org/officeDocument/2006/relationships/hyperlink" Target="mailto:javiermosquera@reincorporacion.gov.co" TargetMode="External"/><Relationship Id="rId101"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109" Type="http://schemas.openxmlformats.org/officeDocument/2006/relationships/printerSettings" Target="../printerSettings/printerSettings1.bin"/><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97" Type="http://schemas.openxmlformats.org/officeDocument/2006/relationships/hyperlink" Target="mailto:javiermosquera@reincorporacion.gov.co" TargetMode="External"/><Relationship Id="rId104"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110" Type="http://schemas.openxmlformats.org/officeDocument/2006/relationships/vmlDrawing" Target="../drawings/vmlDrawing1.v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100" Type="http://schemas.openxmlformats.org/officeDocument/2006/relationships/hyperlink" Target="mailto:javiermosquera@reincorporacion.gov.co" TargetMode="External"/><Relationship Id="rId105"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93" Type="http://schemas.openxmlformats.org/officeDocument/2006/relationships/hyperlink" Target="mailto:javiermosquera@reincorporacion.gov.co" TargetMode="External"/><Relationship Id="rId98"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11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1889-9303-4850-9B12-5CAA6CE554CA}">
  <sheetPr>
    <tabColor rgb="FFFFFF00"/>
  </sheetPr>
  <dimension ref="A1:AA225"/>
  <sheetViews>
    <sheetView tabSelected="1" view="pageBreakPreview" zoomScale="70" zoomScaleNormal="85" zoomScaleSheetLayoutView="70" workbookViewId="0">
      <pane xSplit="3" ySplit="5" topLeftCell="W102" activePane="bottomRight" state="frozen"/>
      <selection pane="topRight" activeCell="D1" sqref="D1"/>
      <selection pane="bottomLeft" activeCell="A6" sqref="A6"/>
      <selection pane="bottomRight" activeCell="X213" sqref="X213"/>
    </sheetView>
  </sheetViews>
  <sheetFormatPr baseColWidth="10" defaultColWidth="5" defaultRowHeight="12.5" x14ac:dyDescent="0.25"/>
  <cols>
    <col min="1" max="1" width="22.453125" style="1" customWidth="1"/>
    <col min="2" max="2" width="23.54296875" style="103" customWidth="1"/>
    <col min="3" max="3" width="46.453125" style="104" customWidth="1"/>
    <col min="4" max="4" width="16.26953125" style="103" customWidth="1"/>
    <col min="5" max="5" width="31.81640625" style="103" customWidth="1"/>
    <col min="6" max="9" width="16.26953125" style="103" customWidth="1"/>
    <col min="10" max="10" width="16.453125" style="103" customWidth="1"/>
    <col min="11" max="11" width="39.7265625" style="104" customWidth="1"/>
    <col min="12" max="12" width="18.453125" style="105" customWidth="1"/>
    <col min="13" max="13" width="19.453125" style="105" customWidth="1"/>
    <col min="14" max="14" width="19.453125" style="104" customWidth="1"/>
    <col min="15" max="15" width="20.26953125" style="104" customWidth="1"/>
    <col min="16" max="16" width="20.26953125" style="103" customWidth="1"/>
    <col min="17" max="18" width="18.26953125" style="103" customWidth="1"/>
    <col min="19" max="21" width="16.26953125" style="104" customWidth="1"/>
    <col min="22" max="22" width="16.26953125" style="103" customWidth="1"/>
    <col min="23" max="24" width="16.26953125" style="104" customWidth="1"/>
    <col min="25" max="25" width="16.26953125" style="103" customWidth="1"/>
    <col min="26" max="26" width="16.26953125" style="104" customWidth="1"/>
    <col min="27" max="27" width="42.81640625" style="5" customWidth="1"/>
    <col min="28" max="16384" width="5" style="16"/>
  </cols>
  <sheetData>
    <row r="1" spans="1:27" s="6" customFormat="1" hidden="1" x14ac:dyDescent="0.25">
      <c r="A1" s="1"/>
      <c r="B1" s="2"/>
      <c r="C1" s="3"/>
      <c r="D1" s="2"/>
      <c r="E1" s="2"/>
      <c r="F1" s="2"/>
      <c r="G1" s="2"/>
      <c r="H1" s="2"/>
      <c r="I1" s="2"/>
      <c r="J1" s="2"/>
      <c r="K1" s="3"/>
      <c r="L1" s="4"/>
      <c r="M1" s="4"/>
      <c r="N1" s="3"/>
      <c r="O1" s="3"/>
      <c r="P1" s="2"/>
      <c r="Q1" s="2"/>
      <c r="R1" s="2"/>
      <c r="S1" s="3"/>
      <c r="T1" s="3"/>
      <c r="U1" s="3"/>
      <c r="V1" s="2"/>
      <c r="W1" s="3"/>
      <c r="X1" s="3"/>
      <c r="Y1" s="2"/>
      <c r="Z1" s="3"/>
      <c r="AA1" s="5"/>
    </row>
    <row r="2" spans="1:27" s="6" customFormat="1" hidden="1" x14ac:dyDescent="0.25">
      <c r="A2" s="1"/>
      <c r="B2" s="2"/>
      <c r="C2" s="3"/>
      <c r="D2" s="2"/>
      <c r="E2" s="2"/>
      <c r="F2" s="2"/>
      <c r="G2" s="2"/>
      <c r="H2" s="2"/>
      <c r="I2" s="2"/>
      <c r="J2" s="2"/>
      <c r="K2" s="3"/>
      <c r="L2" s="4"/>
      <c r="M2" s="4"/>
      <c r="N2" s="3"/>
      <c r="O2" s="3"/>
      <c r="P2" s="2"/>
      <c r="Q2" s="2"/>
      <c r="R2" s="2"/>
      <c r="S2" s="3"/>
      <c r="T2" s="3"/>
      <c r="U2" s="3"/>
      <c r="V2" s="2"/>
      <c r="W2" s="3"/>
      <c r="X2" s="3"/>
      <c r="Y2" s="2"/>
      <c r="Z2" s="3"/>
      <c r="AA2" s="5"/>
    </row>
    <row r="3" spans="1:27"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5"/>
    </row>
    <row r="4" spans="1:27"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5"/>
    </row>
    <row r="5" spans="1:27"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4" t="s">
        <v>25</v>
      </c>
      <c r="Z5" s="11" t="s">
        <v>26</v>
      </c>
      <c r="AA5" s="15" t="s">
        <v>27</v>
      </c>
    </row>
    <row r="6" spans="1:27" ht="168.75" customHeight="1" x14ac:dyDescent="0.25">
      <c r="A6" s="17" t="s">
        <v>29</v>
      </c>
      <c r="B6" s="18" t="s">
        <v>30</v>
      </c>
      <c r="C6" s="19" t="s">
        <v>31</v>
      </c>
      <c r="D6" s="19"/>
      <c r="E6" s="20">
        <v>44012</v>
      </c>
      <c r="F6" s="21" t="s">
        <v>32</v>
      </c>
      <c r="G6" s="21" t="s">
        <v>32</v>
      </c>
      <c r="H6" s="22">
        <v>6</v>
      </c>
      <c r="I6" s="23" t="s">
        <v>33</v>
      </c>
      <c r="J6" s="24" t="s">
        <v>34</v>
      </c>
      <c r="K6" s="25" t="s">
        <v>35</v>
      </c>
      <c r="L6" s="18" t="s">
        <v>36</v>
      </c>
      <c r="M6" s="26">
        <f>+N6+Q6+R6</f>
        <v>1250000000</v>
      </c>
      <c r="N6" s="26">
        <f t="shared" ref="N6:N69" si="0">+O6+P6</f>
        <v>1250000000</v>
      </c>
      <c r="O6" s="27">
        <v>0</v>
      </c>
      <c r="P6" s="28">
        <f>1500000000-250000000</f>
        <v>1250000000</v>
      </c>
      <c r="Q6" s="27"/>
      <c r="R6" s="27"/>
      <c r="S6" s="29" t="s">
        <v>37</v>
      </c>
      <c r="T6" s="29" t="s">
        <v>38</v>
      </c>
      <c r="U6" s="29"/>
      <c r="V6" s="29" t="s">
        <v>39</v>
      </c>
      <c r="W6" s="29" t="s">
        <v>40</v>
      </c>
      <c r="X6" s="29" t="s">
        <v>41</v>
      </c>
      <c r="Y6" s="29" t="s">
        <v>42</v>
      </c>
      <c r="Z6" s="30" t="s">
        <v>43</v>
      </c>
      <c r="AA6" s="31" t="s">
        <v>44</v>
      </c>
    </row>
    <row r="7" spans="1:27" ht="168.75" customHeight="1" x14ac:dyDescent="0.25">
      <c r="A7" s="17" t="s">
        <v>29</v>
      </c>
      <c r="B7" s="18" t="s">
        <v>30</v>
      </c>
      <c r="C7" s="19" t="s">
        <v>45</v>
      </c>
      <c r="D7" s="19"/>
      <c r="E7" s="20">
        <v>44012</v>
      </c>
      <c r="F7" s="21" t="s">
        <v>32</v>
      </c>
      <c r="G7" s="21" t="s">
        <v>32</v>
      </c>
      <c r="H7" s="22">
        <v>6</v>
      </c>
      <c r="I7" s="23" t="s">
        <v>33</v>
      </c>
      <c r="J7" s="24" t="s">
        <v>34</v>
      </c>
      <c r="K7" s="25" t="s">
        <v>35</v>
      </c>
      <c r="L7" s="18" t="s">
        <v>36</v>
      </c>
      <c r="M7" s="26">
        <f>+N7+Q7+R7</f>
        <v>250000000</v>
      </c>
      <c r="N7" s="26">
        <f t="shared" si="0"/>
        <v>250000000</v>
      </c>
      <c r="O7" s="27">
        <v>0</v>
      </c>
      <c r="P7" s="28">
        <f>250000000</f>
        <v>250000000</v>
      </c>
      <c r="Q7" s="27"/>
      <c r="R7" s="27"/>
      <c r="S7" s="29" t="s">
        <v>37</v>
      </c>
      <c r="T7" s="29" t="s">
        <v>38</v>
      </c>
      <c r="U7" s="29" t="s">
        <v>46</v>
      </c>
      <c r="V7" s="29" t="s">
        <v>39</v>
      </c>
      <c r="W7" s="29" t="s">
        <v>40</v>
      </c>
      <c r="X7" s="29" t="s">
        <v>41</v>
      </c>
      <c r="Y7" s="29" t="s">
        <v>42</v>
      </c>
      <c r="Z7" s="30" t="s">
        <v>43</v>
      </c>
      <c r="AA7" s="31" t="s">
        <v>44</v>
      </c>
    </row>
    <row r="8" spans="1:27" ht="87" customHeight="1" x14ac:dyDescent="0.25">
      <c r="A8" s="17" t="s">
        <v>29</v>
      </c>
      <c r="B8" s="18" t="s">
        <v>47</v>
      </c>
      <c r="C8" s="19" t="s">
        <v>48</v>
      </c>
      <c r="D8" s="33">
        <v>44106</v>
      </c>
      <c r="E8" s="20">
        <v>43980</v>
      </c>
      <c r="F8" s="21"/>
      <c r="G8" s="21"/>
      <c r="H8" s="22">
        <v>7</v>
      </c>
      <c r="I8" s="23" t="s">
        <v>33</v>
      </c>
      <c r="J8" s="24" t="s">
        <v>49</v>
      </c>
      <c r="K8" s="25" t="s">
        <v>50</v>
      </c>
      <c r="L8" s="18" t="s">
        <v>36</v>
      </c>
      <c r="M8" s="26">
        <f>+N8+Q8+R8</f>
        <v>2553183679</v>
      </c>
      <c r="N8" s="26">
        <f t="shared" si="0"/>
        <v>2553183679</v>
      </c>
      <c r="O8" s="27">
        <v>2553183679</v>
      </c>
      <c r="P8" s="27"/>
      <c r="Q8" s="27"/>
      <c r="R8" s="27"/>
      <c r="S8" s="29" t="s">
        <v>37</v>
      </c>
      <c r="T8" s="29" t="s">
        <v>38</v>
      </c>
      <c r="U8" s="29" t="s">
        <v>51</v>
      </c>
      <c r="V8" s="29" t="s">
        <v>39</v>
      </c>
      <c r="W8" s="29" t="s">
        <v>40</v>
      </c>
      <c r="X8" s="29" t="s">
        <v>41</v>
      </c>
      <c r="Y8" s="29" t="s">
        <v>42</v>
      </c>
      <c r="Z8" s="30" t="s">
        <v>43</v>
      </c>
      <c r="AA8" s="31" t="s">
        <v>44</v>
      </c>
    </row>
    <row r="9" spans="1:27" ht="98.25" customHeight="1" x14ac:dyDescent="0.25">
      <c r="A9" s="17" t="s">
        <v>29</v>
      </c>
      <c r="B9" s="18" t="s">
        <v>47</v>
      </c>
      <c r="C9" s="19" t="s">
        <v>52</v>
      </c>
      <c r="D9" s="33">
        <v>44106</v>
      </c>
      <c r="E9" s="20">
        <v>43980</v>
      </c>
      <c r="F9" s="21" t="s">
        <v>53</v>
      </c>
      <c r="G9" s="21" t="s">
        <v>53</v>
      </c>
      <c r="H9" s="22">
        <v>7</v>
      </c>
      <c r="I9" s="23" t="s">
        <v>33</v>
      </c>
      <c r="J9" s="24" t="s">
        <v>54</v>
      </c>
      <c r="K9" s="25" t="s">
        <v>50</v>
      </c>
      <c r="L9" s="18" t="s">
        <v>36</v>
      </c>
      <c r="M9" s="26">
        <f t="shared" ref="M9:M80" si="1">+N9+Q9+R9</f>
        <v>530000000</v>
      </c>
      <c r="N9" s="26">
        <f t="shared" si="0"/>
        <v>530000000</v>
      </c>
      <c r="O9" s="27">
        <f>800000000-270000000</f>
        <v>530000000</v>
      </c>
      <c r="P9" s="27"/>
      <c r="Q9" s="27"/>
      <c r="R9" s="27"/>
      <c r="S9" s="29" t="s">
        <v>37</v>
      </c>
      <c r="T9" s="29" t="s">
        <v>38</v>
      </c>
      <c r="U9" s="29"/>
      <c r="V9" s="29" t="s">
        <v>39</v>
      </c>
      <c r="W9" s="29" t="s">
        <v>40</v>
      </c>
      <c r="X9" s="29" t="s">
        <v>41</v>
      </c>
      <c r="Y9" s="29" t="s">
        <v>42</v>
      </c>
      <c r="Z9" s="30" t="s">
        <v>43</v>
      </c>
      <c r="AA9" s="31" t="s">
        <v>44</v>
      </c>
    </row>
    <row r="10" spans="1:27" ht="57.75" customHeight="1" x14ac:dyDescent="0.25">
      <c r="A10" s="17" t="s">
        <v>29</v>
      </c>
      <c r="B10" s="18" t="s">
        <v>47</v>
      </c>
      <c r="C10" s="19" t="s">
        <v>55</v>
      </c>
      <c r="D10" s="33">
        <v>44071</v>
      </c>
      <c r="E10" s="20"/>
      <c r="F10" s="21"/>
      <c r="G10" s="21"/>
      <c r="H10" s="22"/>
      <c r="I10" s="23"/>
      <c r="J10" s="24" t="s">
        <v>49</v>
      </c>
      <c r="K10" s="25" t="s">
        <v>56</v>
      </c>
      <c r="L10" s="18" t="s">
        <v>36</v>
      </c>
      <c r="M10" s="26">
        <f t="shared" si="1"/>
        <v>2836535605</v>
      </c>
      <c r="N10" s="26">
        <f t="shared" si="0"/>
        <v>2836535605</v>
      </c>
      <c r="O10" s="26"/>
      <c r="P10" s="27">
        <v>2836535605</v>
      </c>
      <c r="Q10" s="27"/>
      <c r="R10" s="27"/>
      <c r="S10" s="29" t="s">
        <v>37</v>
      </c>
      <c r="T10" s="29" t="s">
        <v>38</v>
      </c>
      <c r="U10" s="29" t="s">
        <v>51</v>
      </c>
      <c r="V10" s="29" t="s">
        <v>39</v>
      </c>
      <c r="W10" s="29" t="s">
        <v>40</v>
      </c>
      <c r="X10" s="29" t="s">
        <v>41</v>
      </c>
      <c r="Y10" s="29" t="s">
        <v>42</v>
      </c>
      <c r="Z10" s="30" t="s">
        <v>43</v>
      </c>
      <c r="AA10" s="31" t="s">
        <v>44</v>
      </c>
    </row>
    <row r="11" spans="1:27" ht="99" customHeight="1" x14ac:dyDescent="0.25">
      <c r="A11" s="17" t="s">
        <v>29</v>
      </c>
      <c r="B11" s="18" t="s">
        <v>57</v>
      </c>
      <c r="C11" s="36" t="s">
        <v>58</v>
      </c>
      <c r="D11" s="33">
        <v>44082</v>
      </c>
      <c r="E11" s="20"/>
      <c r="F11" s="29"/>
      <c r="G11" s="29"/>
      <c r="H11" s="35"/>
      <c r="I11" s="29" t="s">
        <v>33</v>
      </c>
      <c r="J11" s="24" t="s">
        <v>49</v>
      </c>
      <c r="K11" s="36" t="s">
        <v>59</v>
      </c>
      <c r="L11" s="18" t="s">
        <v>36</v>
      </c>
      <c r="M11" s="26">
        <f t="shared" si="1"/>
        <v>1051718685</v>
      </c>
      <c r="N11" s="26">
        <f t="shared" si="0"/>
        <v>1051718685</v>
      </c>
      <c r="O11" s="26">
        <v>1051718685</v>
      </c>
      <c r="P11" s="26"/>
      <c r="Q11" s="26"/>
      <c r="R11" s="26"/>
      <c r="S11" s="29" t="s">
        <v>37</v>
      </c>
      <c r="T11" s="29" t="s">
        <v>60</v>
      </c>
      <c r="U11" s="29" t="s">
        <v>51</v>
      </c>
      <c r="V11" s="29" t="s">
        <v>39</v>
      </c>
      <c r="W11" s="29" t="s">
        <v>40</v>
      </c>
      <c r="X11" s="29" t="s">
        <v>41</v>
      </c>
      <c r="Y11" s="29" t="s">
        <v>42</v>
      </c>
      <c r="Z11" s="30" t="s">
        <v>61</v>
      </c>
      <c r="AA11" s="31" t="s">
        <v>44</v>
      </c>
    </row>
    <row r="12" spans="1:27" ht="116.25" customHeight="1" x14ac:dyDescent="0.25">
      <c r="A12" s="17" t="s">
        <v>29</v>
      </c>
      <c r="B12" s="18" t="s">
        <v>30</v>
      </c>
      <c r="C12" s="19" t="s">
        <v>62</v>
      </c>
      <c r="D12" s="19"/>
      <c r="E12" s="20">
        <v>43994</v>
      </c>
      <c r="F12" s="29" t="s">
        <v>53</v>
      </c>
      <c r="G12" s="34" t="s">
        <v>53</v>
      </c>
      <c r="H12" s="22">
        <v>6</v>
      </c>
      <c r="I12" s="23" t="s">
        <v>33</v>
      </c>
      <c r="J12" s="24" t="s">
        <v>34</v>
      </c>
      <c r="K12" s="25" t="s">
        <v>63</v>
      </c>
      <c r="L12" s="18" t="s">
        <v>36</v>
      </c>
      <c r="M12" s="26">
        <f t="shared" si="1"/>
        <v>3200000000</v>
      </c>
      <c r="N12" s="26">
        <f t="shared" si="0"/>
        <v>3200000000</v>
      </c>
      <c r="O12" s="27">
        <v>0</v>
      </c>
      <c r="P12" s="27">
        <f>4120000000-920000000</f>
        <v>3200000000</v>
      </c>
      <c r="Q12" s="27"/>
      <c r="R12" s="27"/>
      <c r="S12" s="29" t="s">
        <v>37</v>
      </c>
      <c r="T12" s="29" t="s">
        <v>38</v>
      </c>
      <c r="U12" s="29"/>
      <c r="V12" s="29" t="s">
        <v>39</v>
      </c>
      <c r="W12" s="29" t="s">
        <v>40</v>
      </c>
      <c r="X12" s="29" t="s">
        <v>41</v>
      </c>
      <c r="Y12" s="29" t="s">
        <v>42</v>
      </c>
      <c r="Z12" s="30" t="s">
        <v>43</v>
      </c>
      <c r="AA12" s="31" t="s">
        <v>44</v>
      </c>
    </row>
    <row r="13" spans="1:27" ht="116.25" customHeight="1" x14ac:dyDescent="0.25">
      <c r="A13" s="17" t="s">
        <v>29</v>
      </c>
      <c r="B13" s="18" t="s">
        <v>30</v>
      </c>
      <c r="C13" s="19" t="s">
        <v>64</v>
      </c>
      <c r="D13" s="19"/>
      <c r="E13" s="20"/>
      <c r="F13" s="29"/>
      <c r="G13" s="34"/>
      <c r="H13" s="22"/>
      <c r="I13" s="23"/>
      <c r="J13" s="24"/>
      <c r="K13" s="25" t="s">
        <v>63</v>
      </c>
      <c r="L13" s="18" t="s">
        <v>36</v>
      </c>
      <c r="M13" s="26">
        <f>+N13+Q13+R13</f>
        <v>920000000</v>
      </c>
      <c r="N13" s="26">
        <f t="shared" si="0"/>
        <v>920000000</v>
      </c>
      <c r="O13" s="27">
        <v>0</v>
      </c>
      <c r="P13" s="27">
        <f>920000000</f>
        <v>920000000</v>
      </c>
      <c r="Q13" s="27"/>
      <c r="R13" s="27"/>
      <c r="S13" s="29" t="s">
        <v>37</v>
      </c>
      <c r="T13" s="29" t="s">
        <v>38</v>
      </c>
      <c r="U13" s="29" t="s">
        <v>46</v>
      </c>
      <c r="V13" s="29" t="s">
        <v>39</v>
      </c>
      <c r="W13" s="29" t="s">
        <v>40</v>
      </c>
      <c r="X13" s="29" t="s">
        <v>41</v>
      </c>
      <c r="Y13" s="29" t="s">
        <v>42</v>
      </c>
      <c r="Z13" s="30" t="s">
        <v>43</v>
      </c>
      <c r="AA13" s="31" t="s">
        <v>44</v>
      </c>
    </row>
    <row r="14" spans="1:27" ht="144" customHeight="1" x14ac:dyDescent="0.25">
      <c r="A14" s="17" t="s">
        <v>65</v>
      </c>
      <c r="B14" s="18" t="s">
        <v>30</v>
      </c>
      <c r="C14" s="19" t="s">
        <v>66</v>
      </c>
      <c r="D14" s="19"/>
      <c r="E14" s="20"/>
      <c r="F14" s="29"/>
      <c r="G14" s="34"/>
      <c r="H14" s="35"/>
      <c r="I14" s="23"/>
      <c r="J14" s="24"/>
      <c r="K14" s="25" t="s">
        <v>67</v>
      </c>
      <c r="L14" s="18" t="s">
        <v>36</v>
      </c>
      <c r="M14" s="26">
        <f t="shared" si="1"/>
        <v>200000000</v>
      </c>
      <c r="N14" s="26">
        <f t="shared" si="0"/>
        <v>200000000</v>
      </c>
      <c r="O14" s="27"/>
      <c r="P14" s="27">
        <v>200000000</v>
      </c>
      <c r="Q14" s="27"/>
      <c r="R14" s="27"/>
      <c r="S14" s="29" t="s">
        <v>37</v>
      </c>
      <c r="T14" s="29" t="s">
        <v>38</v>
      </c>
      <c r="U14" s="29" t="s">
        <v>46</v>
      </c>
      <c r="V14" s="29" t="s">
        <v>68</v>
      </c>
      <c r="W14" s="29" t="s">
        <v>40</v>
      </c>
      <c r="X14" s="29" t="s">
        <v>41</v>
      </c>
      <c r="Y14" s="29" t="s">
        <v>42</v>
      </c>
      <c r="Z14" s="30" t="s">
        <v>43</v>
      </c>
      <c r="AA14" s="31" t="s">
        <v>44</v>
      </c>
    </row>
    <row r="15" spans="1:27" ht="124.5" customHeight="1" x14ac:dyDescent="0.25">
      <c r="A15" s="17" t="s">
        <v>65</v>
      </c>
      <c r="B15" s="18">
        <v>86101700</v>
      </c>
      <c r="C15" s="19" t="s">
        <v>69</v>
      </c>
      <c r="D15" s="19"/>
      <c r="E15" s="106">
        <v>43951</v>
      </c>
      <c r="F15" s="29" t="s">
        <v>53</v>
      </c>
      <c r="G15" s="34" t="s">
        <v>32</v>
      </c>
      <c r="H15" s="35">
        <v>6</v>
      </c>
      <c r="I15" s="23" t="s">
        <v>33</v>
      </c>
      <c r="J15" s="24" t="s">
        <v>70</v>
      </c>
      <c r="K15" s="25" t="s">
        <v>71</v>
      </c>
      <c r="L15" s="18"/>
      <c r="M15" s="26">
        <f>+N15+Q15+R15</f>
        <v>500000000</v>
      </c>
      <c r="N15" s="26">
        <f t="shared" si="0"/>
        <v>500000000</v>
      </c>
      <c r="O15" s="27"/>
      <c r="P15" s="27">
        <v>500000000</v>
      </c>
      <c r="Q15" s="38"/>
      <c r="R15" s="26"/>
      <c r="S15" s="29" t="s">
        <v>37</v>
      </c>
      <c r="T15" s="29" t="s">
        <v>38</v>
      </c>
      <c r="U15" s="29" t="s">
        <v>72</v>
      </c>
      <c r="V15" s="29" t="s">
        <v>68</v>
      </c>
      <c r="W15" s="29" t="s">
        <v>40</v>
      </c>
      <c r="X15" s="29" t="s">
        <v>41</v>
      </c>
      <c r="Y15" s="29" t="s">
        <v>42</v>
      </c>
      <c r="Z15" s="30" t="s">
        <v>43</v>
      </c>
      <c r="AA15" s="31" t="s">
        <v>44</v>
      </c>
    </row>
    <row r="16" spans="1:27" ht="173.25" customHeight="1" x14ac:dyDescent="0.25">
      <c r="A16" s="17" t="s">
        <v>73</v>
      </c>
      <c r="B16" s="24">
        <v>84131601</v>
      </c>
      <c r="C16" s="19" t="s">
        <v>74</v>
      </c>
      <c r="D16" s="19"/>
      <c r="E16" s="20"/>
      <c r="F16" s="21"/>
      <c r="G16" s="29"/>
      <c r="H16" s="29"/>
      <c r="I16" s="23"/>
      <c r="J16" s="24" t="s">
        <v>75</v>
      </c>
      <c r="K16" s="36" t="s">
        <v>76</v>
      </c>
      <c r="L16" s="18" t="s">
        <v>36</v>
      </c>
      <c r="M16" s="26">
        <f t="shared" si="1"/>
        <v>0</v>
      </c>
      <c r="N16" s="26">
        <f t="shared" si="0"/>
        <v>0</v>
      </c>
      <c r="O16" s="26"/>
      <c r="P16" s="26"/>
      <c r="Q16" s="26"/>
      <c r="R16" s="26"/>
      <c r="S16" s="29" t="s">
        <v>37</v>
      </c>
      <c r="T16" s="29" t="s">
        <v>38</v>
      </c>
      <c r="U16" s="29"/>
      <c r="V16" s="29" t="s">
        <v>77</v>
      </c>
      <c r="W16" s="29" t="s">
        <v>40</v>
      </c>
      <c r="X16" s="29" t="s">
        <v>41</v>
      </c>
      <c r="Y16" s="29" t="s">
        <v>42</v>
      </c>
      <c r="Z16" s="30" t="s">
        <v>43</v>
      </c>
      <c r="AA16" s="31" t="s">
        <v>44</v>
      </c>
    </row>
    <row r="17" spans="1:27" ht="173.25" customHeight="1" x14ac:dyDescent="0.25">
      <c r="A17" s="17" t="s">
        <v>73</v>
      </c>
      <c r="B17" s="24">
        <v>84131601</v>
      </c>
      <c r="C17" s="19" t="s">
        <v>78</v>
      </c>
      <c r="D17" s="19"/>
      <c r="E17" s="20"/>
      <c r="F17" s="21"/>
      <c r="G17" s="29"/>
      <c r="H17" s="29"/>
      <c r="I17" s="23"/>
      <c r="J17" s="24"/>
      <c r="K17" s="36" t="s">
        <v>76</v>
      </c>
      <c r="L17" s="18" t="s">
        <v>36</v>
      </c>
      <c r="M17" s="26">
        <f>+N17+Q17+R17</f>
        <v>238762790</v>
      </c>
      <c r="N17" s="26">
        <f t="shared" si="0"/>
        <v>238762790</v>
      </c>
      <c r="O17" s="26"/>
      <c r="P17" s="26">
        <f>174489272+64273518</f>
        <v>238762790</v>
      </c>
      <c r="Q17" s="26"/>
      <c r="R17" s="26"/>
      <c r="S17" s="29" t="s">
        <v>37</v>
      </c>
      <c r="T17" s="29" t="s">
        <v>38</v>
      </c>
      <c r="U17" s="29" t="s">
        <v>46</v>
      </c>
      <c r="V17" s="29" t="s">
        <v>77</v>
      </c>
      <c r="W17" s="29" t="s">
        <v>40</v>
      </c>
      <c r="X17" s="29" t="s">
        <v>41</v>
      </c>
      <c r="Y17" s="29" t="s">
        <v>42</v>
      </c>
      <c r="Z17" s="30" t="s">
        <v>43</v>
      </c>
      <c r="AA17" s="31" t="s">
        <v>44</v>
      </c>
    </row>
    <row r="18" spans="1:27" ht="87.65" customHeight="1" x14ac:dyDescent="0.25">
      <c r="A18" s="17" t="s">
        <v>79</v>
      </c>
      <c r="B18" s="18" t="s">
        <v>80</v>
      </c>
      <c r="C18" s="19" t="s">
        <v>81</v>
      </c>
      <c r="D18" s="33"/>
      <c r="E18" s="20">
        <v>43903</v>
      </c>
      <c r="F18" s="21" t="s">
        <v>82</v>
      </c>
      <c r="G18" s="21" t="s">
        <v>82</v>
      </c>
      <c r="H18" s="29" t="s">
        <v>83</v>
      </c>
      <c r="I18" s="23" t="s">
        <v>33</v>
      </c>
      <c r="J18" s="19" t="s">
        <v>34</v>
      </c>
      <c r="K18" s="25" t="s">
        <v>84</v>
      </c>
      <c r="L18" s="37" t="s">
        <v>36</v>
      </c>
      <c r="M18" s="26">
        <f>+N18+Q18+R18</f>
        <v>1600000000</v>
      </c>
      <c r="N18" s="26">
        <f t="shared" si="0"/>
        <v>1600000000</v>
      </c>
      <c r="O18" s="26"/>
      <c r="P18" s="26">
        <v>1600000000</v>
      </c>
      <c r="Q18" s="26"/>
      <c r="R18" s="26"/>
      <c r="S18" s="29" t="s">
        <v>37</v>
      </c>
      <c r="T18" s="29" t="s">
        <v>38</v>
      </c>
      <c r="U18" s="29" t="s">
        <v>72</v>
      </c>
      <c r="V18" s="29" t="s">
        <v>85</v>
      </c>
      <c r="W18" s="29" t="s">
        <v>40</v>
      </c>
      <c r="X18" s="29" t="s">
        <v>41</v>
      </c>
      <c r="Y18" s="29" t="s">
        <v>42</v>
      </c>
      <c r="Z18" s="30" t="s">
        <v>43</v>
      </c>
      <c r="AA18" s="31" t="s">
        <v>44</v>
      </c>
    </row>
    <row r="19" spans="1:27" ht="87.65" customHeight="1" x14ac:dyDescent="0.25">
      <c r="A19" s="17" t="s">
        <v>79</v>
      </c>
      <c r="B19" s="18" t="s">
        <v>80</v>
      </c>
      <c r="C19" s="19" t="s">
        <v>86</v>
      </c>
      <c r="D19" s="33"/>
      <c r="E19" s="20"/>
      <c r="F19" s="21"/>
      <c r="G19" s="21"/>
      <c r="H19" s="29"/>
      <c r="I19" s="23"/>
      <c r="J19" s="19"/>
      <c r="K19" s="25" t="s">
        <v>84</v>
      </c>
      <c r="L19" s="37" t="s">
        <v>36</v>
      </c>
      <c r="M19" s="26">
        <f>+N19+Q19+R19</f>
        <v>186882039</v>
      </c>
      <c r="N19" s="26">
        <f t="shared" si="0"/>
        <v>186882039</v>
      </c>
      <c r="O19" s="26">
        <f>500000000-150000000-163117961</f>
        <v>186882039</v>
      </c>
      <c r="P19" s="26">
        <f>71028215-71028215</f>
        <v>0</v>
      </c>
      <c r="Q19" s="26"/>
      <c r="R19" s="26"/>
      <c r="S19" s="29" t="s">
        <v>37</v>
      </c>
      <c r="T19" s="29" t="s">
        <v>38</v>
      </c>
      <c r="U19" s="29" t="s">
        <v>46</v>
      </c>
      <c r="V19" s="29" t="s">
        <v>85</v>
      </c>
      <c r="W19" s="29" t="s">
        <v>40</v>
      </c>
      <c r="X19" s="29" t="s">
        <v>41</v>
      </c>
      <c r="Y19" s="29" t="s">
        <v>42</v>
      </c>
      <c r="Z19" s="30" t="s">
        <v>43</v>
      </c>
      <c r="AA19" s="31" t="s">
        <v>44</v>
      </c>
    </row>
    <row r="20" spans="1:27" ht="228" customHeight="1" x14ac:dyDescent="0.25">
      <c r="A20" s="17" t="s">
        <v>79</v>
      </c>
      <c r="B20" s="24" t="s">
        <v>87</v>
      </c>
      <c r="C20" s="19" t="s">
        <v>88</v>
      </c>
      <c r="D20" s="19"/>
      <c r="E20" s="20">
        <v>43889</v>
      </c>
      <c r="F20" s="29" t="s">
        <v>89</v>
      </c>
      <c r="G20" s="29" t="s">
        <v>89</v>
      </c>
      <c r="H20" s="35">
        <v>7</v>
      </c>
      <c r="I20" s="29" t="s">
        <v>33</v>
      </c>
      <c r="J20" s="24" t="s">
        <v>34</v>
      </c>
      <c r="K20" s="36" t="s">
        <v>90</v>
      </c>
      <c r="L20" s="18" t="s">
        <v>91</v>
      </c>
      <c r="M20" s="26">
        <f t="shared" si="1"/>
        <v>4901250000</v>
      </c>
      <c r="N20" s="26">
        <f t="shared" si="0"/>
        <v>4901250000</v>
      </c>
      <c r="O20" s="26"/>
      <c r="P20" s="26">
        <f>3101250000+1800000000</f>
        <v>4901250000</v>
      </c>
      <c r="Q20" s="26"/>
      <c r="R20" s="26"/>
      <c r="S20" s="29" t="s">
        <v>37</v>
      </c>
      <c r="T20" s="29" t="s">
        <v>38</v>
      </c>
      <c r="U20" s="29" t="s">
        <v>72</v>
      </c>
      <c r="V20" s="29" t="s">
        <v>85</v>
      </c>
      <c r="W20" s="29" t="s">
        <v>40</v>
      </c>
      <c r="X20" s="29" t="s">
        <v>41</v>
      </c>
      <c r="Y20" s="29" t="s">
        <v>42</v>
      </c>
      <c r="Z20" s="30" t="s">
        <v>92</v>
      </c>
      <c r="AA20" s="31" t="s">
        <v>44</v>
      </c>
    </row>
    <row r="21" spans="1:27" ht="71.25" customHeight="1" x14ac:dyDescent="0.25">
      <c r="A21" s="17" t="s">
        <v>93</v>
      </c>
      <c r="B21" s="24" t="s">
        <v>94</v>
      </c>
      <c r="C21" s="19" t="s">
        <v>95</v>
      </c>
      <c r="D21" s="19"/>
      <c r="E21" s="20">
        <v>43861</v>
      </c>
      <c r="F21" s="29" t="s">
        <v>96</v>
      </c>
      <c r="G21" s="29" t="s">
        <v>96</v>
      </c>
      <c r="H21" s="35">
        <v>10</v>
      </c>
      <c r="I21" s="23" t="s">
        <v>33</v>
      </c>
      <c r="J21" s="24" t="s">
        <v>34</v>
      </c>
      <c r="K21" s="36" t="s">
        <v>97</v>
      </c>
      <c r="L21" s="18" t="s">
        <v>36</v>
      </c>
      <c r="M21" s="26">
        <f t="shared" si="1"/>
        <v>482131187.88</v>
      </c>
      <c r="N21" s="26">
        <f t="shared" si="0"/>
        <v>482131187.88</v>
      </c>
      <c r="O21" s="26">
        <f>482131298.88-111</f>
        <v>482131187.88</v>
      </c>
      <c r="P21" s="26">
        <v>0</v>
      </c>
      <c r="Q21" s="26"/>
      <c r="R21" s="26"/>
      <c r="S21" s="29" t="s">
        <v>37</v>
      </c>
      <c r="T21" s="29" t="s">
        <v>38</v>
      </c>
      <c r="U21" s="29" t="s">
        <v>98</v>
      </c>
      <c r="V21" s="29" t="s">
        <v>99</v>
      </c>
      <c r="W21" s="29" t="s">
        <v>40</v>
      </c>
      <c r="X21" s="29" t="s">
        <v>41</v>
      </c>
      <c r="Y21" s="29" t="s">
        <v>42</v>
      </c>
      <c r="Z21" s="30" t="s">
        <v>43</v>
      </c>
      <c r="AA21" s="31" t="s">
        <v>44</v>
      </c>
    </row>
    <row r="22" spans="1:27" ht="156.75" customHeight="1" x14ac:dyDescent="0.25">
      <c r="A22" s="17" t="s">
        <v>100</v>
      </c>
      <c r="B22" s="24" t="s">
        <v>101</v>
      </c>
      <c r="C22" s="19" t="s">
        <v>102</v>
      </c>
      <c r="D22" s="19"/>
      <c r="E22" s="20"/>
      <c r="F22" s="29"/>
      <c r="G22" s="34"/>
      <c r="H22" s="35"/>
      <c r="I22" s="23"/>
      <c r="J22" s="24"/>
      <c r="K22" s="36" t="s">
        <v>103</v>
      </c>
      <c r="L22" s="18" t="s">
        <v>36</v>
      </c>
      <c r="M22" s="26">
        <f t="shared" si="1"/>
        <v>787907134</v>
      </c>
      <c r="N22" s="26">
        <f t="shared" si="0"/>
        <v>787907134</v>
      </c>
      <c r="O22" s="26">
        <f>199292730+56267860-131461560-124099030</f>
        <v>0</v>
      </c>
      <c r="P22" s="26">
        <f>1916325470+225071440-1353489776</f>
        <v>787907134</v>
      </c>
      <c r="Q22" s="26"/>
      <c r="R22" s="26"/>
      <c r="S22" s="29" t="s">
        <v>37</v>
      </c>
      <c r="T22" s="29" t="s">
        <v>38</v>
      </c>
      <c r="U22" s="29" t="s">
        <v>46</v>
      </c>
      <c r="V22" s="29" t="s">
        <v>104</v>
      </c>
      <c r="W22" s="29" t="s">
        <v>40</v>
      </c>
      <c r="X22" s="29" t="s">
        <v>41</v>
      </c>
      <c r="Y22" s="29" t="s">
        <v>42</v>
      </c>
      <c r="Z22" s="30" t="s">
        <v>43</v>
      </c>
      <c r="AA22" s="31" t="s">
        <v>44</v>
      </c>
    </row>
    <row r="23" spans="1:27" ht="156.75" customHeight="1" x14ac:dyDescent="0.25">
      <c r="A23" s="17" t="s">
        <v>105</v>
      </c>
      <c r="B23" s="24" t="s">
        <v>106</v>
      </c>
      <c r="C23" s="19" t="s">
        <v>107</v>
      </c>
      <c r="D23" s="19"/>
      <c r="E23" s="20">
        <v>43889</v>
      </c>
      <c r="F23" s="29" t="s">
        <v>89</v>
      </c>
      <c r="G23" s="34" t="s">
        <v>89</v>
      </c>
      <c r="H23" s="35">
        <v>6</v>
      </c>
      <c r="I23" s="23" t="s">
        <v>33</v>
      </c>
      <c r="J23" s="24" t="s">
        <v>34</v>
      </c>
      <c r="K23" s="36" t="s">
        <v>108</v>
      </c>
      <c r="L23" s="18" t="s">
        <v>109</v>
      </c>
      <c r="M23" s="26">
        <f>+N23+Q23+R23</f>
        <v>350000000</v>
      </c>
      <c r="N23" s="26">
        <f t="shared" si="0"/>
        <v>350000000</v>
      </c>
      <c r="O23" s="26"/>
      <c r="P23" s="26">
        <v>350000000</v>
      </c>
      <c r="Q23" s="26"/>
      <c r="R23" s="26"/>
      <c r="S23" s="29" t="s">
        <v>37</v>
      </c>
      <c r="T23" s="29" t="s">
        <v>38</v>
      </c>
      <c r="U23" s="29" t="s">
        <v>72</v>
      </c>
      <c r="V23" s="29" t="s">
        <v>110</v>
      </c>
      <c r="W23" s="29" t="s">
        <v>111</v>
      </c>
      <c r="X23" s="29" t="s">
        <v>41</v>
      </c>
      <c r="Y23" s="29" t="s">
        <v>42</v>
      </c>
      <c r="Z23" s="30" t="s">
        <v>112</v>
      </c>
      <c r="AA23" s="31" t="s">
        <v>44</v>
      </c>
    </row>
    <row r="24" spans="1:27" ht="156.75" customHeight="1" x14ac:dyDescent="0.25">
      <c r="A24" s="17" t="s">
        <v>100</v>
      </c>
      <c r="B24" s="24" t="s">
        <v>113</v>
      </c>
      <c r="C24" s="19" t="s">
        <v>114</v>
      </c>
      <c r="D24" s="19"/>
      <c r="E24" s="20">
        <v>43921</v>
      </c>
      <c r="F24" s="29" t="s">
        <v>115</v>
      </c>
      <c r="G24" s="29" t="s">
        <v>115</v>
      </c>
      <c r="H24" s="35">
        <v>11</v>
      </c>
      <c r="I24" s="23" t="s">
        <v>33</v>
      </c>
      <c r="J24" s="24" t="s">
        <v>34</v>
      </c>
      <c r="K24" s="36" t="s">
        <v>116</v>
      </c>
      <c r="L24" s="18" t="s">
        <v>36</v>
      </c>
      <c r="M24" s="26">
        <f t="shared" si="1"/>
        <v>4452567490</v>
      </c>
      <c r="N24" s="26">
        <f t="shared" si="0"/>
        <v>3116797243</v>
      </c>
      <c r="O24" s="26">
        <f>463535700+64651618-25096747</f>
        <v>503090571</v>
      </c>
      <c r="P24" s="26">
        <f>2627017700+344794982-358106010</f>
        <v>2613706672</v>
      </c>
      <c r="Q24" s="26">
        <v>1335770247</v>
      </c>
      <c r="R24" s="26"/>
      <c r="S24" s="29" t="s">
        <v>117</v>
      </c>
      <c r="T24" s="29" t="s">
        <v>38</v>
      </c>
      <c r="U24" s="29" t="s">
        <v>72</v>
      </c>
      <c r="V24" s="29" t="s">
        <v>104</v>
      </c>
      <c r="W24" s="29" t="s">
        <v>40</v>
      </c>
      <c r="X24" s="29" t="s">
        <v>41</v>
      </c>
      <c r="Y24" s="29" t="s">
        <v>42</v>
      </c>
      <c r="Z24" s="30" t="s">
        <v>43</v>
      </c>
      <c r="AA24" s="31" t="s">
        <v>44</v>
      </c>
    </row>
    <row r="25" spans="1:27" ht="156.75" customHeight="1" x14ac:dyDescent="0.25">
      <c r="A25" s="17" t="s">
        <v>100</v>
      </c>
      <c r="B25" s="24" t="s">
        <v>113</v>
      </c>
      <c r="C25" s="19" t="s">
        <v>118</v>
      </c>
      <c r="D25" s="19"/>
      <c r="E25" s="20"/>
      <c r="F25" s="29"/>
      <c r="G25" s="29"/>
      <c r="H25" s="35"/>
      <c r="I25" s="23"/>
      <c r="J25" s="24"/>
      <c r="K25" s="36" t="s">
        <v>116</v>
      </c>
      <c r="L25" s="18" t="s">
        <v>36</v>
      </c>
      <c r="M25" s="26">
        <f>+N25+Q25+R25</f>
        <v>383202757</v>
      </c>
      <c r="N25" s="26">
        <f t="shared" si="0"/>
        <v>383202757</v>
      </c>
      <c r="O25" s="26">
        <f>25096747</f>
        <v>25096747</v>
      </c>
      <c r="P25" s="26">
        <f>358106010</f>
        <v>358106010</v>
      </c>
      <c r="Q25" s="26"/>
      <c r="R25" s="26"/>
      <c r="S25" s="29" t="s">
        <v>37</v>
      </c>
      <c r="T25" s="29" t="s">
        <v>38</v>
      </c>
      <c r="U25" s="29" t="s">
        <v>46</v>
      </c>
      <c r="V25" s="29" t="s">
        <v>104</v>
      </c>
      <c r="W25" s="29" t="s">
        <v>40</v>
      </c>
      <c r="X25" s="29" t="s">
        <v>41</v>
      </c>
      <c r="Y25" s="29" t="s">
        <v>42</v>
      </c>
      <c r="Z25" s="30" t="s">
        <v>43</v>
      </c>
      <c r="AA25" s="31" t="s">
        <v>44</v>
      </c>
    </row>
    <row r="26" spans="1:27" ht="157.5" customHeight="1" x14ac:dyDescent="0.25">
      <c r="A26" s="17" t="s">
        <v>105</v>
      </c>
      <c r="B26" s="24" t="s">
        <v>119</v>
      </c>
      <c r="C26" s="19" t="s">
        <v>120</v>
      </c>
      <c r="D26" s="19"/>
      <c r="E26" s="20">
        <v>44012</v>
      </c>
      <c r="F26" s="29" t="s">
        <v>53</v>
      </c>
      <c r="G26" s="29" t="s">
        <v>53</v>
      </c>
      <c r="H26" s="35">
        <v>7</v>
      </c>
      <c r="I26" s="23" t="s">
        <v>33</v>
      </c>
      <c r="J26" s="24" t="s">
        <v>34</v>
      </c>
      <c r="K26" s="36" t="s">
        <v>121</v>
      </c>
      <c r="L26" s="18" t="s">
        <v>122</v>
      </c>
      <c r="M26" s="26">
        <f t="shared" si="1"/>
        <v>306074960</v>
      </c>
      <c r="N26" s="26">
        <f t="shared" si="0"/>
        <v>306074960</v>
      </c>
      <c r="O26" s="26">
        <f>306074960</f>
        <v>306074960</v>
      </c>
      <c r="P26" s="26"/>
      <c r="Q26" s="26"/>
      <c r="R26" s="26"/>
      <c r="S26" s="29" t="s">
        <v>37</v>
      </c>
      <c r="T26" s="29" t="s">
        <v>38</v>
      </c>
      <c r="U26" s="29"/>
      <c r="V26" s="29" t="s">
        <v>110</v>
      </c>
      <c r="W26" s="29" t="s">
        <v>40</v>
      </c>
      <c r="X26" s="29" t="s">
        <v>41</v>
      </c>
      <c r="Y26" s="29" t="s">
        <v>42</v>
      </c>
      <c r="Z26" s="30" t="s">
        <v>43</v>
      </c>
      <c r="AA26" s="31" t="s">
        <v>44</v>
      </c>
    </row>
    <row r="27" spans="1:27" ht="86.25" customHeight="1" x14ac:dyDescent="0.25">
      <c r="A27" s="17" t="s">
        <v>100</v>
      </c>
      <c r="B27" s="24" t="s">
        <v>119</v>
      </c>
      <c r="C27" s="19" t="s">
        <v>123</v>
      </c>
      <c r="D27" s="33"/>
      <c r="E27" s="20">
        <v>44043</v>
      </c>
      <c r="F27" s="29" t="s">
        <v>32</v>
      </c>
      <c r="G27" s="29" t="s">
        <v>32</v>
      </c>
      <c r="H27" s="35">
        <v>5</v>
      </c>
      <c r="I27" s="23" t="s">
        <v>33</v>
      </c>
      <c r="J27" s="24" t="s">
        <v>34</v>
      </c>
      <c r="K27" s="36" t="s">
        <v>124</v>
      </c>
      <c r="L27" s="18" t="s">
        <v>122</v>
      </c>
      <c r="M27" s="26">
        <f t="shared" si="1"/>
        <v>1559119960</v>
      </c>
      <c r="N27" s="26">
        <f t="shared" si="0"/>
        <v>1559119960</v>
      </c>
      <c r="O27" s="26">
        <f>559119960+500000000</f>
        <v>1059119960</v>
      </c>
      <c r="P27" s="26">
        <v>500000000</v>
      </c>
      <c r="Q27" s="38"/>
      <c r="R27" s="26"/>
      <c r="S27" s="29" t="s">
        <v>37</v>
      </c>
      <c r="T27" s="29" t="s">
        <v>38</v>
      </c>
      <c r="U27" s="29"/>
      <c r="V27" s="29" t="s">
        <v>110</v>
      </c>
      <c r="W27" s="29" t="s">
        <v>40</v>
      </c>
      <c r="X27" s="29" t="s">
        <v>41</v>
      </c>
      <c r="Y27" s="29" t="s">
        <v>42</v>
      </c>
      <c r="Z27" s="30" t="s">
        <v>43</v>
      </c>
      <c r="AA27" s="39" t="s">
        <v>44</v>
      </c>
    </row>
    <row r="28" spans="1:27" ht="144.75" customHeight="1" x14ac:dyDescent="0.25">
      <c r="A28" s="17" t="s">
        <v>29</v>
      </c>
      <c r="B28" s="24" t="s">
        <v>125</v>
      </c>
      <c r="C28" s="19" t="s">
        <v>126</v>
      </c>
      <c r="D28" s="33">
        <v>44284</v>
      </c>
      <c r="E28" s="20">
        <v>43889</v>
      </c>
      <c r="F28" s="21" t="s">
        <v>89</v>
      </c>
      <c r="G28" s="21" t="s">
        <v>89</v>
      </c>
      <c r="H28" s="35">
        <v>8</v>
      </c>
      <c r="I28" s="29" t="s">
        <v>33</v>
      </c>
      <c r="J28" s="24" t="s">
        <v>127</v>
      </c>
      <c r="K28" s="36" t="s">
        <v>128</v>
      </c>
      <c r="L28" s="18" t="s">
        <v>129</v>
      </c>
      <c r="M28" s="26">
        <f t="shared" si="1"/>
        <v>259314777</v>
      </c>
      <c r="N28" s="26">
        <f t="shared" si="0"/>
        <v>259314777</v>
      </c>
      <c r="O28" s="26">
        <v>259314777</v>
      </c>
      <c r="P28" s="26"/>
      <c r="Q28" s="38"/>
      <c r="R28" s="26"/>
      <c r="S28" s="29" t="s">
        <v>37</v>
      </c>
      <c r="T28" s="29" t="s">
        <v>38</v>
      </c>
      <c r="U28" s="29" t="s">
        <v>98</v>
      </c>
      <c r="V28" s="29" t="s">
        <v>130</v>
      </c>
      <c r="W28" s="29" t="s">
        <v>40</v>
      </c>
      <c r="X28" s="29" t="s">
        <v>41</v>
      </c>
      <c r="Y28" s="29" t="s">
        <v>42</v>
      </c>
      <c r="Z28" s="30" t="s">
        <v>43</v>
      </c>
      <c r="AA28" s="39" t="s">
        <v>44</v>
      </c>
    </row>
    <row r="29" spans="1:27" ht="144.75" customHeight="1" x14ac:dyDescent="0.25">
      <c r="A29" s="17" t="s">
        <v>100</v>
      </c>
      <c r="B29" s="24">
        <v>80111500</v>
      </c>
      <c r="C29" s="19" t="s">
        <v>131</v>
      </c>
      <c r="D29" s="19"/>
      <c r="E29" s="20">
        <v>43889</v>
      </c>
      <c r="F29" s="29" t="s">
        <v>89</v>
      </c>
      <c r="G29" s="29" t="s">
        <v>89</v>
      </c>
      <c r="H29" s="35">
        <v>5</v>
      </c>
      <c r="I29" s="23" t="s">
        <v>33</v>
      </c>
      <c r="J29" s="24" t="s">
        <v>34</v>
      </c>
      <c r="K29" s="36" t="s">
        <v>132</v>
      </c>
      <c r="L29" s="18" t="s">
        <v>36</v>
      </c>
      <c r="M29" s="26">
        <f t="shared" si="1"/>
        <v>500000000</v>
      </c>
      <c r="N29" s="26">
        <f t="shared" si="0"/>
        <v>500000000</v>
      </c>
      <c r="O29" s="26"/>
      <c r="P29" s="26">
        <v>500000000</v>
      </c>
      <c r="Q29" s="26"/>
      <c r="R29" s="26"/>
      <c r="S29" s="29" t="s">
        <v>37</v>
      </c>
      <c r="T29" s="29" t="s">
        <v>38</v>
      </c>
      <c r="U29" s="29"/>
      <c r="V29" s="29" t="s">
        <v>133</v>
      </c>
      <c r="W29" s="29" t="s">
        <v>40</v>
      </c>
      <c r="X29" s="29" t="s">
        <v>41</v>
      </c>
      <c r="Y29" s="29" t="s">
        <v>42</v>
      </c>
      <c r="Z29" s="30" t="s">
        <v>43</v>
      </c>
      <c r="AA29" s="31" t="s">
        <v>44</v>
      </c>
    </row>
    <row r="30" spans="1:27" ht="71.25" customHeight="1" x14ac:dyDescent="0.25">
      <c r="A30" s="17" t="s">
        <v>134</v>
      </c>
      <c r="B30" s="24">
        <v>80111500</v>
      </c>
      <c r="C30" s="19" t="s">
        <v>135</v>
      </c>
      <c r="D30" s="19"/>
      <c r="E30" s="20"/>
      <c r="F30" s="29"/>
      <c r="G30" s="29"/>
      <c r="H30" s="35"/>
      <c r="I30" s="29"/>
      <c r="J30" s="24" t="s">
        <v>34</v>
      </c>
      <c r="K30" s="36" t="s">
        <v>136</v>
      </c>
      <c r="L30" s="18" t="s">
        <v>36</v>
      </c>
      <c r="M30" s="26">
        <f>+N30+Q30+R30</f>
        <v>1674983232</v>
      </c>
      <c r="N30" s="26">
        <f t="shared" si="0"/>
        <v>1674983232</v>
      </c>
      <c r="O30" s="26">
        <v>0</v>
      </c>
      <c r="P30" s="26">
        <f>1674983232</f>
        <v>1674983232</v>
      </c>
      <c r="Q30" s="26"/>
      <c r="R30" s="26"/>
      <c r="S30" s="29" t="s">
        <v>37</v>
      </c>
      <c r="T30" s="29" t="s">
        <v>38</v>
      </c>
      <c r="U30" s="29" t="s">
        <v>98</v>
      </c>
      <c r="V30" s="29" t="s">
        <v>137</v>
      </c>
      <c r="W30" s="29" t="s">
        <v>40</v>
      </c>
      <c r="X30" s="29" t="s">
        <v>41</v>
      </c>
      <c r="Y30" s="29" t="s">
        <v>42</v>
      </c>
      <c r="Z30" s="30" t="s">
        <v>43</v>
      </c>
      <c r="AA30" s="31" t="s">
        <v>44</v>
      </c>
    </row>
    <row r="31" spans="1:27" ht="129.75" customHeight="1" x14ac:dyDescent="0.25">
      <c r="A31" s="17" t="s">
        <v>134</v>
      </c>
      <c r="B31" s="18">
        <v>80111500</v>
      </c>
      <c r="C31" s="19" t="s">
        <v>138</v>
      </c>
      <c r="D31" s="19"/>
      <c r="E31" s="20"/>
      <c r="F31" s="29"/>
      <c r="G31" s="29"/>
      <c r="H31" s="35"/>
      <c r="I31" s="29"/>
      <c r="J31" s="24" t="s">
        <v>34</v>
      </c>
      <c r="K31" s="36" t="s">
        <v>139</v>
      </c>
      <c r="L31" s="24" t="s">
        <v>140</v>
      </c>
      <c r="M31" s="26">
        <f t="shared" si="1"/>
        <v>43102462611</v>
      </c>
      <c r="N31" s="26">
        <f t="shared" si="0"/>
        <v>43102462611</v>
      </c>
      <c r="O31" s="26">
        <v>14890994008</v>
      </c>
      <c r="P31" s="26">
        <v>28211468603</v>
      </c>
      <c r="Q31" s="26"/>
      <c r="R31" s="26"/>
      <c r="S31" s="29" t="s">
        <v>37</v>
      </c>
      <c r="T31" s="29" t="s">
        <v>38</v>
      </c>
      <c r="U31" s="29" t="s">
        <v>98</v>
      </c>
      <c r="V31" s="29" t="s">
        <v>141</v>
      </c>
      <c r="W31" s="29" t="s">
        <v>40</v>
      </c>
      <c r="X31" s="29" t="s">
        <v>41</v>
      </c>
      <c r="Y31" s="29" t="s">
        <v>42</v>
      </c>
      <c r="Z31" s="30" t="s">
        <v>43</v>
      </c>
      <c r="AA31" s="31" t="s">
        <v>44</v>
      </c>
    </row>
    <row r="32" spans="1:27" ht="141" customHeight="1" x14ac:dyDescent="0.25">
      <c r="A32" s="17" t="s">
        <v>29</v>
      </c>
      <c r="B32" s="24" t="s">
        <v>142</v>
      </c>
      <c r="C32" s="19" t="s">
        <v>143</v>
      </c>
      <c r="D32" s="19"/>
      <c r="E32" s="20">
        <v>43889</v>
      </c>
      <c r="F32" s="29" t="s">
        <v>89</v>
      </c>
      <c r="G32" s="34" t="s">
        <v>53</v>
      </c>
      <c r="H32" s="35">
        <v>8</v>
      </c>
      <c r="I32" s="29" t="s">
        <v>33</v>
      </c>
      <c r="J32" s="24" t="s">
        <v>144</v>
      </c>
      <c r="K32" s="36" t="s">
        <v>145</v>
      </c>
      <c r="L32" s="18" t="s">
        <v>146</v>
      </c>
      <c r="M32" s="26">
        <f t="shared" si="1"/>
        <v>1852683781</v>
      </c>
      <c r="N32" s="26">
        <f t="shared" si="0"/>
        <v>1852683781</v>
      </c>
      <c r="O32" s="26">
        <f>450000000+200000000-78204948</f>
        <v>571795052</v>
      </c>
      <c r="P32" s="26">
        <f>1210000000+160000000+200000000-(5329065+9052345)-274729861</f>
        <v>1280888729</v>
      </c>
      <c r="Q32" s="26"/>
      <c r="R32" s="26"/>
      <c r="S32" s="29" t="s">
        <v>37</v>
      </c>
      <c r="T32" s="29" t="s">
        <v>38</v>
      </c>
      <c r="U32" s="29" t="s">
        <v>72</v>
      </c>
      <c r="V32" s="29" t="s">
        <v>137</v>
      </c>
      <c r="W32" s="29" t="s">
        <v>40</v>
      </c>
      <c r="X32" s="29" t="s">
        <v>41</v>
      </c>
      <c r="Y32" s="29" t="s">
        <v>42</v>
      </c>
      <c r="Z32" s="30" t="s">
        <v>147</v>
      </c>
      <c r="AA32" s="31" t="s">
        <v>44</v>
      </c>
    </row>
    <row r="33" spans="1:27" ht="51" customHeight="1" x14ac:dyDescent="0.25">
      <c r="A33" s="17" t="s">
        <v>148</v>
      </c>
      <c r="B33" s="18">
        <v>80111500</v>
      </c>
      <c r="C33" s="50" t="s">
        <v>149</v>
      </c>
      <c r="D33" s="50"/>
      <c r="E33" s="20"/>
      <c r="F33" s="29" t="s">
        <v>150</v>
      </c>
      <c r="G33" s="29" t="s">
        <v>150</v>
      </c>
      <c r="H33" s="35">
        <v>12</v>
      </c>
      <c r="I33" s="29" t="s">
        <v>33</v>
      </c>
      <c r="J33" s="24" t="s">
        <v>34</v>
      </c>
      <c r="K33" s="50" t="s">
        <v>151</v>
      </c>
      <c r="L33" s="18" t="s">
        <v>36</v>
      </c>
      <c r="M33" s="26">
        <f t="shared" si="1"/>
        <v>3152211545</v>
      </c>
      <c r="N33" s="26">
        <f t="shared" si="0"/>
        <v>3152211545</v>
      </c>
      <c r="O33" s="26">
        <f>5848352092-57973271-61147717-2740320-36910000-4313830381-36910000</f>
        <v>1338840403</v>
      </c>
      <c r="P33" s="26">
        <f>4125719100+502428853-2814776811</f>
        <v>1813371142</v>
      </c>
      <c r="Q33" s="26"/>
      <c r="R33" s="26"/>
      <c r="S33" s="29" t="s">
        <v>37</v>
      </c>
      <c r="T33" s="29" t="s">
        <v>38</v>
      </c>
      <c r="U33" s="29" t="s">
        <v>98</v>
      </c>
      <c r="V33" s="29" t="s">
        <v>141</v>
      </c>
      <c r="W33" s="29" t="s">
        <v>40</v>
      </c>
      <c r="X33" s="29" t="s">
        <v>41</v>
      </c>
      <c r="Y33" s="29" t="s">
        <v>42</v>
      </c>
      <c r="Z33" s="30" t="s">
        <v>147</v>
      </c>
      <c r="AA33" s="31" t="s">
        <v>44</v>
      </c>
    </row>
    <row r="34" spans="1:27" ht="85.5" customHeight="1" x14ac:dyDescent="0.25">
      <c r="A34" s="17" t="s">
        <v>152</v>
      </c>
      <c r="B34" s="18" t="s">
        <v>153</v>
      </c>
      <c r="C34" s="19" t="s">
        <v>154</v>
      </c>
      <c r="D34" s="33">
        <v>44150</v>
      </c>
      <c r="E34" s="20"/>
      <c r="F34" s="21" t="s">
        <v>150</v>
      </c>
      <c r="G34" s="21" t="s">
        <v>150</v>
      </c>
      <c r="H34" s="35">
        <v>12</v>
      </c>
      <c r="I34" s="40" t="s">
        <v>33</v>
      </c>
      <c r="J34" s="24" t="s">
        <v>49</v>
      </c>
      <c r="K34" s="29" t="s">
        <v>155</v>
      </c>
      <c r="L34" s="24" t="s">
        <v>156</v>
      </c>
      <c r="M34" s="26">
        <f t="shared" si="1"/>
        <v>6172217489</v>
      </c>
      <c r="N34" s="26">
        <f t="shared" si="0"/>
        <v>6172217489</v>
      </c>
      <c r="O34" s="26">
        <f>(697977588+4645071984)-157451069</f>
        <v>5185598503</v>
      </c>
      <c r="P34" s="26">
        <f>829167917+157451069</f>
        <v>986618986</v>
      </c>
      <c r="Q34" s="26"/>
      <c r="R34" s="26"/>
      <c r="S34" s="29" t="s">
        <v>37</v>
      </c>
      <c r="T34" s="29" t="s">
        <v>38</v>
      </c>
      <c r="U34" s="29" t="s">
        <v>51</v>
      </c>
      <c r="V34" s="29" t="s">
        <v>157</v>
      </c>
      <c r="W34" s="29" t="s">
        <v>40</v>
      </c>
      <c r="X34" s="29" t="s">
        <v>41</v>
      </c>
      <c r="Y34" s="29" t="s">
        <v>42</v>
      </c>
      <c r="Z34" s="30" t="s">
        <v>112</v>
      </c>
      <c r="AA34" s="31" t="s">
        <v>44</v>
      </c>
    </row>
    <row r="35" spans="1:27" ht="85.5" customHeight="1" x14ac:dyDescent="0.25">
      <c r="A35" s="17" t="s">
        <v>152</v>
      </c>
      <c r="B35" s="18" t="s">
        <v>153</v>
      </c>
      <c r="C35" s="19" t="s">
        <v>158</v>
      </c>
      <c r="D35" s="33" t="s">
        <v>159</v>
      </c>
      <c r="E35" s="20">
        <v>43983</v>
      </c>
      <c r="F35" s="21" t="s">
        <v>115</v>
      </c>
      <c r="G35" s="21" t="s">
        <v>160</v>
      </c>
      <c r="H35" s="35">
        <v>21</v>
      </c>
      <c r="I35" s="40" t="s">
        <v>33</v>
      </c>
      <c r="J35" s="29" t="s">
        <v>144</v>
      </c>
      <c r="K35" s="29" t="s">
        <v>155</v>
      </c>
      <c r="L35" s="24" t="s">
        <v>156</v>
      </c>
      <c r="M35" s="26">
        <f t="shared" si="1"/>
        <v>13012752610</v>
      </c>
      <c r="N35" s="26">
        <f t="shared" si="0"/>
        <v>873171049</v>
      </c>
      <c r="O35" s="26">
        <v>329531267</v>
      </c>
      <c r="P35" s="26">
        <v>543639782</v>
      </c>
      <c r="Q35" s="26">
        <v>7474344768</v>
      </c>
      <c r="R35" s="26">
        <v>4665236793</v>
      </c>
      <c r="S35" s="29" t="s">
        <v>117</v>
      </c>
      <c r="T35" s="29" t="s">
        <v>38</v>
      </c>
      <c r="U35" s="29"/>
      <c r="V35" s="29" t="s">
        <v>157</v>
      </c>
      <c r="W35" s="29" t="s">
        <v>40</v>
      </c>
      <c r="X35" s="29" t="s">
        <v>41</v>
      </c>
      <c r="Y35" s="29" t="s">
        <v>42</v>
      </c>
      <c r="Z35" s="30" t="s">
        <v>112</v>
      </c>
      <c r="AA35" s="31" t="s">
        <v>44</v>
      </c>
    </row>
    <row r="36" spans="1:27" ht="57" customHeight="1" x14ac:dyDescent="0.25">
      <c r="A36" s="17" t="s">
        <v>152</v>
      </c>
      <c r="B36" s="18">
        <v>92101501</v>
      </c>
      <c r="C36" s="19" t="s">
        <v>161</v>
      </c>
      <c r="D36" s="33">
        <v>44165</v>
      </c>
      <c r="E36" s="20"/>
      <c r="F36" s="21"/>
      <c r="G36" s="21"/>
      <c r="H36" s="35">
        <v>12</v>
      </c>
      <c r="I36" s="40" t="s">
        <v>33</v>
      </c>
      <c r="J36" s="24" t="s">
        <v>49</v>
      </c>
      <c r="K36" s="29" t="s">
        <v>162</v>
      </c>
      <c r="L36" s="24" t="s">
        <v>36</v>
      </c>
      <c r="M36" s="26">
        <f t="shared" si="1"/>
        <v>1462289151</v>
      </c>
      <c r="N36" s="26">
        <f t="shared" si="0"/>
        <v>1462289151</v>
      </c>
      <c r="O36" s="26">
        <v>784531275</v>
      </c>
      <c r="P36" s="26">
        <v>677757876</v>
      </c>
      <c r="Q36" s="26"/>
      <c r="R36" s="26"/>
      <c r="S36" s="29" t="s">
        <v>37</v>
      </c>
      <c r="T36" s="29" t="s">
        <v>38</v>
      </c>
      <c r="U36" s="29" t="s">
        <v>51</v>
      </c>
      <c r="V36" s="29" t="s">
        <v>157</v>
      </c>
      <c r="W36" s="29" t="s">
        <v>40</v>
      </c>
      <c r="X36" s="29" t="s">
        <v>41</v>
      </c>
      <c r="Y36" s="29" t="s">
        <v>42</v>
      </c>
      <c r="Z36" s="30" t="s">
        <v>61</v>
      </c>
      <c r="AA36" s="31" t="s">
        <v>44</v>
      </c>
    </row>
    <row r="37" spans="1:27" ht="42.75" customHeight="1" x14ac:dyDescent="0.25">
      <c r="A37" s="17" t="s">
        <v>152</v>
      </c>
      <c r="B37" s="18">
        <v>92101502</v>
      </c>
      <c r="C37" s="19" t="s">
        <v>163</v>
      </c>
      <c r="D37" s="19" t="s">
        <v>164</v>
      </c>
      <c r="E37" s="20">
        <v>43983</v>
      </c>
      <c r="F37" s="21" t="s">
        <v>115</v>
      </c>
      <c r="G37" s="21" t="s">
        <v>160</v>
      </c>
      <c r="H37" s="35"/>
      <c r="I37" s="40" t="s">
        <v>33</v>
      </c>
      <c r="J37" s="19" t="s">
        <v>54</v>
      </c>
      <c r="K37" s="29" t="s">
        <v>162</v>
      </c>
      <c r="L37" s="24" t="s">
        <v>109</v>
      </c>
      <c r="M37" s="26">
        <f t="shared" si="1"/>
        <v>1659148168</v>
      </c>
      <c r="N37" s="26">
        <f t="shared" si="0"/>
        <v>134561896</v>
      </c>
      <c r="O37" s="26">
        <v>54710174</v>
      </c>
      <c r="P37" s="26">
        <v>79851722</v>
      </c>
      <c r="Q37" s="26">
        <v>1524586272</v>
      </c>
      <c r="R37" s="26"/>
      <c r="S37" s="29" t="s">
        <v>117</v>
      </c>
      <c r="T37" s="29" t="s">
        <v>38</v>
      </c>
      <c r="U37" s="29"/>
      <c r="V37" s="29" t="s">
        <v>157</v>
      </c>
      <c r="W37" s="29" t="s">
        <v>40</v>
      </c>
      <c r="X37" s="29" t="s">
        <v>41</v>
      </c>
      <c r="Y37" s="29" t="s">
        <v>42</v>
      </c>
      <c r="Z37" s="30" t="s">
        <v>165</v>
      </c>
      <c r="AA37" s="31" t="s">
        <v>44</v>
      </c>
    </row>
    <row r="38" spans="1:27" s="6" customFormat="1" ht="42.75" customHeight="1" x14ac:dyDescent="0.25">
      <c r="A38" s="17" t="s">
        <v>166</v>
      </c>
      <c r="B38" s="18">
        <v>81112006</v>
      </c>
      <c r="C38" s="19" t="s">
        <v>167</v>
      </c>
      <c r="D38" s="33">
        <v>44074</v>
      </c>
      <c r="E38" s="20"/>
      <c r="F38" s="21"/>
      <c r="G38" s="21"/>
      <c r="H38" s="35"/>
      <c r="I38" s="23"/>
      <c r="J38" s="24" t="s">
        <v>49</v>
      </c>
      <c r="K38" s="24" t="s">
        <v>168</v>
      </c>
      <c r="L38" s="41" t="s">
        <v>36</v>
      </c>
      <c r="M38" s="26">
        <f t="shared" si="1"/>
        <v>911090463</v>
      </c>
      <c r="N38" s="26">
        <f t="shared" si="0"/>
        <v>911090463</v>
      </c>
      <c r="O38" s="26">
        <f>ROUND((618909239+297032146)*0.65,0)-3153099</f>
        <v>592208801</v>
      </c>
      <c r="P38" s="26">
        <f>ROUND((618909239+297032146)*0.35,0)-1697823</f>
        <v>318881662</v>
      </c>
      <c r="Q38" s="26"/>
      <c r="R38" s="26"/>
      <c r="S38" s="29" t="s">
        <v>37</v>
      </c>
      <c r="T38" s="29" t="s">
        <v>38</v>
      </c>
      <c r="U38" s="29" t="s">
        <v>51</v>
      </c>
      <c r="V38" s="29" t="s">
        <v>169</v>
      </c>
      <c r="W38" s="29" t="s">
        <v>170</v>
      </c>
      <c r="X38" s="29" t="s">
        <v>41</v>
      </c>
      <c r="Y38" s="29" t="s">
        <v>42</v>
      </c>
      <c r="Z38" s="30" t="s">
        <v>171</v>
      </c>
      <c r="AA38" s="39" t="s">
        <v>44</v>
      </c>
    </row>
    <row r="39" spans="1:27" s="6" customFormat="1" ht="57" customHeight="1" x14ac:dyDescent="0.25">
      <c r="A39" s="17" t="s">
        <v>166</v>
      </c>
      <c r="B39" s="18">
        <v>81112006</v>
      </c>
      <c r="C39" s="107" t="s">
        <v>172</v>
      </c>
      <c r="D39" s="33"/>
      <c r="E39" s="20">
        <v>43921</v>
      </c>
      <c r="F39" s="21" t="s">
        <v>82</v>
      </c>
      <c r="G39" s="21" t="s">
        <v>82</v>
      </c>
      <c r="H39" s="35">
        <v>24</v>
      </c>
      <c r="I39" s="23" t="s">
        <v>33</v>
      </c>
      <c r="J39" s="19" t="s">
        <v>173</v>
      </c>
      <c r="K39" s="24" t="s">
        <v>168</v>
      </c>
      <c r="L39" s="41" t="s">
        <v>36</v>
      </c>
      <c r="M39" s="26">
        <f t="shared" si="1"/>
        <v>9005649595</v>
      </c>
      <c r="N39" s="26">
        <f t="shared" si="0"/>
        <v>1830280033</v>
      </c>
      <c r="O39" s="26">
        <f>322818686+866863335</f>
        <v>1189682021</v>
      </c>
      <c r="P39" s="26">
        <f>173825446+466772566</f>
        <v>640598012</v>
      </c>
      <c r="Q39" s="26">
        <v>4604515227</v>
      </c>
      <c r="R39" s="26">
        <v>2570854335</v>
      </c>
      <c r="S39" s="29" t="s">
        <v>117</v>
      </c>
      <c r="T39" s="29" t="s">
        <v>174</v>
      </c>
      <c r="U39" s="29" t="s">
        <v>72</v>
      </c>
      <c r="V39" s="29" t="s">
        <v>169</v>
      </c>
      <c r="W39" s="29" t="s">
        <v>170</v>
      </c>
      <c r="X39" s="29" t="s">
        <v>41</v>
      </c>
      <c r="Y39" s="29" t="s">
        <v>42</v>
      </c>
      <c r="Z39" s="30" t="s">
        <v>171</v>
      </c>
      <c r="AA39" s="39" t="s">
        <v>44</v>
      </c>
    </row>
    <row r="40" spans="1:27" s="6" customFormat="1" ht="42.75" customHeight="1" x14ac:dyDescent="0.25">
      <c r="A40" s="17" t="s">
        <v>166</v>
      </c>
      <c r="B40" s="18">
        <v>81112006</v>
      </c>
      <c r="C40" s="19" t="s">
        <v>175</v>
      </c>
      <c r="D40" s="33">
        <v>44064</v>
      </c>
      <c r="E40" s="20"/>
      <c r="F40" s="21"/>
      <c r="G40" s="21"/>
      <c r="H40" s="35"/>
      <c r="I40" s="23"/>
      <c r="J40" s="24" t="s">
        <v>49</v>
      </c>
      <c r="K40" s="24" t="s">
        <v>168</v>
      </c>
      <c r="L40" s="41" t="s">
        <v>36</v>
      </c>
      <c r="M40" s="26">
        <f t="shared" si="1"/>
        <v>490746490</v>
      </c>
      <c r="N40" s="26">
        <f t="shared" si="0"/>
        <v>490746490</v>
      </c>
      <c r="O40" s="26">
        <f>+ROUND((487894288)*0.65,0)+1853937-9</f>
        <v>318985215</v>
      </c>
      <c r="P40" s="26">
        <f>+ROUND((487894288)*0.35,0)+998274</f>
        <v>171761275</v>
      </c>
      <c r="Q40" s="26"/>
      <c r="R40" s="26"/>
      <c r="S40" s="29" t="s">
        <v>37</v>
      </c>
      <c r="T40" s="29" t="s">
        <v>38</v>
      </c>
      <c r="U40" s="29" t="s">
        <v>51</v>
      </c>
      <c r="V40" s="29" t="s">
        <v>169</v>
      </c>
      <c r="W40" s="29" t="s">
        <v>170</v>
      </c>
      <c r="X40" s="29" t="s">
        <v>41</v>
      </c>
      <c r="Y40" s="29" t="s">
        <v>42</v>
      </c>
      <c r="Z40" s="30" t="s">
        <v>171</v>
      </c>
      <c r="AA40" s="39" t="s">
        <v>44</v>
      </c>
    </row>
    <row r="41" spans="1:27" s="6" customFormat="1" ht="42.75" customHeight="1" x14ac:dyDescent="0.25">
      <c r="A41" s="17" t="s">
        <v>166</v>
      </c>
      <c r="B41" s="18">
        <v>81112006</v>
      </c>
      <c r="C41" s="19" t="s">
        <v>176</v>
      </c>
      <c r="D41" s="33"/>
      <c r="E41" s="20">
        <v>44043</v>
      </c>
      <c r="F41" s="21"/>
      <c r="G41" s="21"/>
      <c r="H41" s="35"/>
      <c r="I41" s="23"/>
      <c r="J41" s="24" t="s">
        <v>127</v>
      </c>
      <c r="K41" s="24" t="s">
        <v>168</v>
      </c>
      <c r="L41" s="41" t="s">
        <v>36</v>
      </c>
      <c r="M41" s="26">
        <f>+N41+Q41+R41</f>
        <v>264547789</v>
      </c>
      <c r="N41" s="26">
        <f t="shared" si="0"/>
        <v>264547789</v>
      </c>
      <c r="O41" s="26">
        <f>78366063</f>
        <v>78366063</v>
      </c>
      <c r="P41" s="26">
        <v>186181726</v>
      </c>
      <c r="Q41" s="26"/>
      <c r="R41" s="26"/>
      <c r="S41" s="29" t="s">
        <v>37</v>
      </c>
      <c r="T41" s="29" t="s">
        <v>38</v>
      </c>
      <c r="U41" s="29"/>
      <c r="V41" s="29" t="s">
        <v>169</v>
      </c>
      <c r="W41" s="29" t="s">
        <v>170</v>
      </c>
      <c r="X41" s="29" t="s">
        <v>41</v>
      </c>
      <c r="Y41" s="29" t="s">
        <v>42</v>
      </c>
      <c r="Z41" s="30" t="s">
        <v>171</v>
      </c>
      <c r="AA41" s="39" t="s">
        <v>44</v>
      </c>
    </row>
    <row r="42" spans="1:27" s="6" customFormat="1" ht="60" customHeight="1" x14ac:dyDescent="0.25">
      <c r="A42" s="17" t="s">
        <v>166</v>
      </c>
      <c r="B42" s="18">
        <v>81112006</v>
      </c>
      <c r="C42" s="42" t="s">
        <v>177</v>
      </c>
      <c r="D42" s="33"/>
      <c r="E42" s="20">
        <v>44071</v>
      </c>
      <c r="F42" s="21" t="s">
        <v>160</v>
      </c>
      <c r="G42" s="21" t="s">
        <v>160</v>
      </c>
      <c r="H42" s="35">
        <v>20</v>
      </c>
      <c r="I42" s="23" t="s">
        <v>33</v>
      </c>
      <c r="J42" s="24" t="s">
        <v>173</v>
      </c>
      <c r="K42" s="24" t="s">
        <v>168</v>
      </c>
      <c r="L42" s="41" t="s">
        <v>36</v>
      </c>
      <c r="M42" s="26">
        <f t="shared" si="1"/>
        <v>7325032971</v>
      </c>
      <c r="N42" s="26">
        <f t="shared" si="0"/>
        <v>129982000</v>
      </c>
      <c r="O42" s="26">
        <v>38982000</v>
      </c>
      <c r="P42" s="26">
        <v>91000000</v>
      </c>
      <c r="Q42" s="26">
        <f>760190280+3784052439</f>
        <v>4544242719</v>
      </c>
      <c r="R42" s="26">
        <f>443444330+2207363922</f>
        <v>2650808252</v>
      </c>
      <c r="S42" s="29" t="s">
        <v>178</v>
      </c>
      <c r="T42" s="29" t="s">
        <v>174</v>
      </c>
      <c r="U42" s="29"/>
      <c r="V42" s="29" t="s">
        <v>169</v>
      </c>
      <c r="W42" s="29" t="s">
        <v>170</v>
      </c>
      <c r="X42" s="29" t="s">
        <v>41</v>
      </c>
      <c r="Y42" s="29" t="s">
        <v>42</v>
      </c>
      <c r="Z42" s="30" t="s">
        <v>171</v>
      </c>
      <c r="AA42" s="39" t="s">
        <v>44</v>
      </c>
    </row>
    <row r="43" spans="1:27" s="6" customFormat="1" ht="57" customHeight="1" x14ac:dyDescent="0.25">
      <c r="A43" s="17" t="s">
        <v>166</v>
      </c>
      <c r="B43" s="43">
        <v>43211500</v>
      </c>
      <c r="C43" s="19" t="s">
        <v>179</v>
      </c>
      <c r="D43" s="19"/>
      <c r="E43" s="20">
        <v>43875</v>
      </c>
      <c r="F43" s="29" t="s">
        <v>89</v>
      </c>
      <c r="G43" s="34" t="s">
        <v>82</v>
      </c>
      <c r="H43" s="35">
        <v>45</v>
      </c>
      <c r="I43" s="23" t="s">
        <v>180</v>
      </c>
      <c r="J43" s="19" t="s">
        <v>173</v>
      </c>
      <c r="K43" s="24" t="s">
        <v>181</v>
      </c>
      <c r="L43" s="24" t="s">
        <v>36</v>
      </c>
      <c r="M43" s="26">
        <f>+N43+Q43+R43</f>
        <v>267620408</v>
      </c>
      <c r="N43" s="26">
        <f t="shared" si="0"/>
        <v>267620408</v>
      </c>
      <c r="O43" s="41">
        <f>276250000-102296734</f>
        <v>173953266</v>
      </c>
      <c r="P43" s="26">
        <f>148750000-55082858</f>
        <v>93667142</v>
      </c>
      <c r="Q43" s="44"/>
      <c r="R43" s="44"/>
      <c r="S43" s="29" t="s">
        <v>37</v>
      </c>
      <c r="T43" s="29" t="s">
        <v>38</v>
      </c>
      <c r="U43" s="29" t="s">
        <v>98</v>
      </c>
      <c r="V43" s="29" t="s">
        <v>182</v>
      </c>
      <c r="W43" s="29" t="s">
        <v>170</v>
      </c>
      <c r="X43" s="29" t="s">
        <v>41</v>
      </c>
      <c r="Y43" s="29" t="s">
        <v>42</v>
      </c>
      <c r="Z43" s="30" t="s">
        <v>171</v>
      </c>
      <c r="AA43" s="39" t="s">
        <v>44</v>
      </c>
    </row>
    <row r="44" spans="1:27" s="6" customFormat="1" ht="57" customHeight="1" x14ac:dyDescent="0.25">
      <c r="A44" s="17" t="s">
        <v>166</v>
      </c>
      <c r="B44" s="43">
        <v>43211501</v>
      </c>
      <c r="C44" s="19" t="s">
        <v>183</v>
      </c>
      <c r="D44" s="19"/>
      <c r="E44" s="20"/>
      <c r="F44" s="29"/>
      <c r="G44" s="34"/>
      <c r="H44" s="35"/>
      <c r="I44" s="23"/>
      <c r="J44" s="19"/>
      <c r="K44" s="24" t="s">
        <v>181</v>
      </c>
      <c r="L44" s="24" t="s">
        <v>109</v>
      </c>
      <c r="M44" s="26">
        <f>+N44+Q44+R44</f>
        <v>157379592</v>
      </c>
      <c r="N44" s="26">
        <f t="shared" si="0"/>
        <v>157379592</v>
      </c>
      <c r="O44" s="41">
        <f>276250000-173953266</f>
        <v>102296734</v>
      </c>
      <c r="P44" s="26">
        <f>148750001-93667143</f>
        <v>55082858</v>
      </c>
      <c r="Q44" s="44"/>
      <c r="R44" s="44"/>
      <c r="S44" s="45"/>
      <c r="T44" s="45"/>
      <c r="U44" s="29" t="s">
        <v>46</v>
      </c>
      <c r="V44" s="29" t="s">
        <v>182</v>
      </c>
      <c r="W44" s="29" t="s">
        <v>170</v>
      </c>
      <c r="X44" s="29" t="s">
        <v>41</v>
      </c>
      <c r="Y44" s="29" t="s">
        <v>42</v>
      </c>
      <c r="Z44" s="30" t="s">
        <v>184</v>
      </c>
      <c r="AA44" s="39" t="s">
        <v>44</v>
      </c>
    </row>
    <row r="45" spans="1:27" s="6" customFormat="1" ht="57" customHeight="1" x14ac:dyDescent="0.25">
      <c r="A45" s="17" t="s">
        <v>166</v>
      </c>
      <c r="B45" s="43">
        <v>43211500</v>
      </c>
      <c r="C45" s="19" t="s">
        <v>185</v>
      </c>
      <c r="D45" s="19"/>
      <c r="E45" s="20">
        <v>43875</v>
      </c>
      <c r="F45" s="29" t="s">
        <v>89</v>
      </c>
      <c r="G45" s="34" t="s">
        <v>82</v>
      </c>
      <c r="H45" s="35">
        <v>45</v>
      </c>
      <c r="I45" s="23" t="s">
        <v>180</v>
      </c>
      <c r="J45" s="19" t="s">
        <v>173</v>
      </c>
      <c r="K45" s="24" t="s">
        <v>181</v>
      </c>
      <c r="L45" s="24" t="s">
        <v>36</v>
      </c>
      <c r="M45" s="26">
        <f t="shared" si="1"/>
        <v>41890072</v>
      </c>
      <c r="N45" s="26">
        <f t="shared" si="0"/>
        <v>41890072</v>
      </c>
      <c r="O45" s="41">
        <f>34450000-7221453</f>
        <v>27228547</v>
      </c>
      <c r="P45" s="26">
        <f>18550000-3888475</f>
        <v>14661525</v>
      </c>
      <c r="Q45" s="38"/>
      <c r="R45" s="44"/>
      <c r="S45" s="29" t="s">
        <v>37</v>
      </c>
      <c r="T45" s="29" t="s">
        <v>38</v>
      </c>
      <c r="U45" s="29" t="s">
        <v>98</v>
      </c>
      <c r="V45" s="29" t="s">
        <v>182</v>
      </c>
      <c r="W45" s="29" t="s">
        <v>170</v>
      </c>
      <c r="X45" s="29" t="s">
        <v>41</v>
      </c>
      <c r="Y45" s="29" t="s">
        <v>42</v>
      </c>
      <c r="Z45" s="30" t="s">
        <v>171</v>
      </c>
      <c r="AA45" s="39" t="s">
        <v>44</v>
      </c>
    </row>
    <row r="46" spans="1:27" s="6" customFormat="1" ht="57" customHeight="1" x14ac:dyDescent="0.25">
      <c r="A46" s="17" t="s">
        <v>166</v>
      </c>
      <c r="B46" s="43">
        <v>43211501</v>
      </c>
      <c r="C46" s="19" t="s">
        <v>186</v>
      </c>
      <c r="D46" s="19"/>
      <c r="E46" s="20"/>
      <c r="F46" s="29"/>
      <c r="G46" s="34"/>
      <c r="H46" s="35"/>
      <c r="I46" s="23"/>
      <c r="J46" s="19"/>
      <c r="K46" s="24" t="s">
        <v>181</v>
      </c>
      <c r="L46" s="24" t="s">
        <v>109</v>
      </c>
      <c r="M46" s="26">
        <f>+N46+Q46+R46</f>
        <v>11109928</v>
      </c>
      <c r="N46" s="26">
        <f t="shared" si="0"/>
        <v>11109928</v>
      </c>
      <c r="O46" s="41">
        <f>34450001-27228548</f>
        <v>7221453</v>
      </c>
      <c r="P46" s="26">
        <f>18550001-14661526</f>
        <v>3888475</v>
      </c>
      <c r="Q46" s="38"/>
      <c r="R46" s="44"/>
      <c r="S46" s="29"/>
      <c r="T46" s="29"/>
      <c r="U46" s="29" t="s">
        <v>46</v>
      </c>
      <c r="V46" s="29" t="s">
        <v>182</v>
      </c>
      <c r="W46" s="29" t="s">
        <v>170</v>
      </c>
      <c r="X46" s="29" t="s">
        <v>41</v>
      </c>
      <c r="Y46" s="29" t="s">
        <v>42</v>
      </c>
      <c r="Z46" s="30" t="s">
        <v>184</v>
      </c>
      <c r="AA46" s="39" t="s">
        <v>44</v>
      </c>
    </row>
    <row r="47" spans="1:27" s="6" customFormat="1" ht="57" customHeight="1" x14ac:dyDescent="0.25">
      <c r="A47" s="17" t="s">
        <v>166</v>
      </c>
      <c r="B47" s="43">
        <v>43211500</v>
      </c>
      <c r="C47" s="19" t="s">
        <v>187</v>
      </c>
      <c r="D47" s="19"/>
      <c r="E47" s="20">
        <v>43875</v>
      </c>
      <c r="F47" s="29" t="s">
        <v>89</v>
      </c>
      <c r="G47" s="34" t="s">
        <v>82</v>
      </c>
      <c r="H47" s="35">
        <v>45</v>
      </c>
      <c r="I47" s="23" t="s">
        <v>180</v>
      </c>
      <c r="J47" s="19" t="s">
        <v>173</v>
      </c>
      <c r="K47" s="24" t="s">
        <v>181</v>
      </c>
      <c r="L47" s="24" t="s">
        <v>36</v>
      </c>
      <c r="M47" s="26">
        <f t="shared" si="1"/>
        <v>188597978</v>
      </c>
      <c r="N47" s="26">
        <f t="shared" si="0"/>
        <v>188597978</v>
      </c>
      <c r="O47" s="41">
        <f>149500000-26911314</f>
        <v>122588686</v>
      </c>
      <c r="P47" s="26">
        <f>80500000-14490708</f>
        <v>66009292</v>
      </c>
      <c r="Q47" s="38"/>
      <c r="R47" s="44"/>
      <c r="S47" s="29" t="s">
        <v>37</v>
      </c>
      <c r="T47" s="29" t="s">
        <v>38</v>
      </c>
      <c r="U47" s="29" t="s">
        <v>98</v>
      </c>
      <c r="V47" s="29" t="s">
        <v>182</v>
      </c>
      <c r="W47" s="29" t="s">
        <v>170</v>
      </c>
      <c r="X47" s="29" t="s">
        <v>41</v>
      </c>
      <c r="Y47" s="29" t="s">
        <v>42</v>
      </c>
      <c r="Z47" s="30" t="s">
        <v>171</v>
      </c>
      <c r="AA47" s="39" t="s">
        <v>44</v>
      </c>
    </row>
    <row r="48" spans="1:27" s="6" customFormat="1" ht="57" customHeight="1" x14ac:dyDescent="0.25">
      <c r="A48" s="17" t="s">
        <v>166</v>
      </c>
      <c r="B48" s="43">
        <v>43211501</v>
      </c>
      <c r="C48" s="19" t="s">
        <v>188</v>
      </c>
      <c r="D48" s="19"/>
      <c r="E48" s="20"/>
      <c r="F48" s="29"/>
      <c r="G48" s="34"/>
      <c r="H48" s="35"/>
      <c r="I48" s="23"/>
      <c r="J48" s="19"/>
      <c r="K48" s="24" t="s">
        <v>181</v>
      </c>
      <c r="L48" s="24" t="s">
        <v>109</v>
      </c>
      <c r="M48" s="26">
        <f>+N48+Q48+R48</f>
        <v>41402022</v>
      </c>
      <c r="N48" s="26">
        <f t="shared" si="0"/>
        <v>41402022</v>
      </c>
      <c r="O48" s="41">
        <f>149500000-122588686</f>
        <v>26911314</v>
      </c>
      <c r="P48" s="26">
        <f>80500000-66009292</f>
        <v>14490708</v>
      </c>
      <c r="Q48" s="38"/>
      <c r="R48" s="44"/>
      <c r="S48" s="29"/>
      <c r="T48" s="29"/>
      <c r="U48" s="29" t="s">
        <v>46</v>
      </c>
      <c r="V48" s="29" t="s">
        <v>182</v>
      </c>
      <c r="W48" s="29" t="s">
        <v>170</v>
      </c>
      <c r="X48" s="29" t="s">
        <v>41</v>
      </c>
      <c r="Y48" s="29" t="s">
        <v>42</v>
      </c>
      <c r="Z48" s="30" t="s">
        <v>184</v>
      </c>
      <c r="AA48" s="39" t="s">
        <v>44</v>
      </c>
    </row>
    <row r="49" spans="1:27" s="6" customFormat="1" ht="57" customHeight="1" x14ac:dyDescent="0.25">
      <c r="A49" s="17" t="s">
        <v>166</v>
      </c>
      <c r="B49" s="43">
        <v>43211711</v>
      </c>
      <c r="C49" s="19" t="s">
        <v>189</v>
      </c>
      <c r="D49" s="19"/>
      <c r="E49" s="20">
        <v>43889</v>
      </c>
      <c r="F49" s="46" t="s">
        <v>89</v>
      </c>
      <c r="G49" s="34" t="s">
        <v>82</v>
      </c>
      <c r="H49" s="47">
        <v>45</v>
      </c>
      <c r="I49" s="23" t="s">
        <v>180</v>
      </c>
      <c r="J49" s="19" t="s">
        <v>173</v>
      </c>
      <c r="K49" s="24" t="s">
        <v>181</v>
      </c>
      <c r="L49" s="24" t="s">
        <v>36</v>
      </c>
      <c r="M49" s="26">
        <f t="shared" si="1"/>
        <v>25210846</v>
      </c>
      <c r="N49" s="26">
        <f t="shared" si="0"/>
        <v>25210846</v>
      </c>
      <c r="O49" s="48">
        <f>26000000-9612949</f>
        <v>16387051</v>
      </c>
      <c r="P49" s="26">
        <f>14000000-5176205</f>
        <v>8823795</v>
      </c>
      <c r="Q49" s="44"/>
      <c r="R49" s="44"/>
      <c r="S49" s="29" t="s">
        <v>37</v>
      </c>
      <c r="T49" s="29" t="s">
        <v>38</v>
      </c>
      <c r="U49" s="29" t="s">
        <v>98</v>
      </c>
      <c r="V49" s="29" t="s">
        <v>182</v>
      </c>
      <c r="W49" s="29" t="s">
        <v>170</v>
      </c>
      <c r="X49" s="29" t="s">
        <v>41</v>
      </c>
      <c r="Y49" s="29" t="s">
        <v>42</v>
      </c>
      <c r="Z49" s="30" t="s">
        <v>171</v>
      </c>
      <c r="AA49" s="39" t="s">
        <v>44</v>
      </c>
    </row>
    <row r="50" spans="1:27" s="6" customFormat="1" ht="57" customHeight="1" x14ac:dyDescent="0.25">
      <c r="A50" s="17" t="s">
        <v>166</v>
      </c>
      <c r="B50" s="43">
        <v>43211712</v>
      </c>
      <c r="C50" s="19" t="s">
        <v>190</v>
      </c>
      <c r="D50" s="19"/>
      <c r="E50" s="20"/>
      <c r="F50" s="46"/>
      <c r="G50" s="34"/>
      <c r="H50" s="47"/>
      <c r="I50" s="23"/>
      <c r="J50" s="19"/>
      <c r="K50" s="24" t="s">
        <v>181</v>
      </c>
      <c r="L50" s="24" t="s">
        <v>109</v>
      </c>
      <c r="M50" s="26">
        <f>+N50+Q50+R50</f>
        <v>14789154</v>
      </c>
      <c r="N50" s="26">
        <f t="shared" si="0"/>
        <v>14789154</v>
      </c>
      <c r="O50" s="48">
        <f>26000000-16387051</f>
        <v>9612949</v>
      </c>
      <c r="P50" s="26">
        <f>14000001-8823796</f>
        <v>5176205</v>
      </c>
      <c r="Q50" s="44"/>
      <c r="R50" s="44"/>
      <c r="S50" s="29"/>
      <c r="T50" s="29"/>
      <c r="U50" s="29" t="s">
        <v>46</v>
      </c>
      <c r="V50" s="29" t="s">
        <v>182</v>
      </c>
      <c r="W50" s="29" t="s">
        <v>170</v>
      </c>
      <c r="X50" s="29" t="s">
        <v>41</v>
      </c>
      <c r="Y50" s="29" t="s">
        <v>42</v>
      </c>
      <c r="Z50" s="30" t="s">
        <v>184</v>
      </c>
      <c r="AA50" s="39" t="s">
        <v>44</v>
      </c>
    </row>
    <row r="51" spans="1:27" s="6" customFormat="1" ht="57" customHeight="1" x14ac:dyDescent="0.25">
      <c r="A51" s="17" t="s">
        <v>166</v>
      </c>
      <c r="B51" s="43">
        <v>43212105</v>
      </c>
      <c r="C51" s="19" t="s">
        <v>191</v>
      </c>
      <c r="D51" s="19"/>
      <c r="E51" s="20">
        <v>43889</v>
      </c>
      <c r="F51" s="46" t="s">
        <v>89</v>
      </c>
      <c r="G51" s="34" t="s">
        <v>82</v>
      </c>
      <c r="H51" s="47">
        <v>45</v>
      </c>
      <c r="I51" s="23" t="s">
        <v>180</v>
      </c>
      <c r="J51" s="19" t="s">
        <v>173</v>
      </c>
      <c r="K51" s="24" t="s">
        <v>181</v>
      </c>
      <c r="L51" s="24" t="s">
        <v>36</v>
      </c>
      <c r="M51" s="26">
        <f t="shared" si="1"/>
        <v>434771371</v>
      </c>
      <c r="N51" s="26">
        <f t="shared" si="0"/>
        <v>434771371</v>
      </c>
      <c r="O51" s="48">
        <f>510900000-228298609</f>
        <v>282601391</v>
      </c>
      <c r="P51" s="26">
        <f>275100000-122930020</f>
        <v>152169980</v>
      </c>
      <c r="Q51" s="44"/>
      <c r="R51" s="44"/>
      <c r="S51" s="29" t="s">
        <v>37</v>
      </c>
      <c r="T51" s="29" t="s">
        <v>38</v>
      </c>
      <c r="U51" s="29" t="s">
        <v>98</v>
      </c>
      <c r="V51" s="29" t="s">
        <v>182</v>
      </c>
      <c r="W51" s="29" t="s">
        <v>170</v>
      </c>
      <c r="X51" s="29" t="s">
        <v>41</v>
      </c>
      <c r="Y51" s="29" t="s">
        <v>42</v>
      </c>
      <c r="Z51" s="30" t="s">
        <v>171</v>
      </c>
      <c r="AA51" s="39" t="s">
        <v>44</v>
      </c>
    </row>
    <row r="52" spans="1:27" s="6" customFormat="1" ht="57" customHeight="1" x14ac:dyDescent="0.25">
      <c r="A52" s="17" t="s">
        <v>166</v>
      </c>
      <c r="B52" s="43">
        <v>43212106</v>
      </c>
      <c r="C52" s="19" t="s">
        <v>192</v>
      </c>
      <c r="D52" s="19"/>
      <c r="E52" s="20"/>
      <c r="F52" s="46"/>
      <c r="G52" s="34"/>
      <c r="H52" s="47"/>
      <c r="I52" s="23"/>
      <c r="J52" s="19"/>
      <c r="K52" s="24" t="s">
        <v>181</v>
      </c>
      <c r="L52" s="24" t="s">
        <v>109</v>
      </c>
      <c r="M52" s="26">
        <f>+N52+Q52+R52</f>
        <v>351228629</v>
      </c>
      <c r="N52" s="26">
        <f t="shared" si="0"/>
        <v>351228629</v>
      </c>
      <c r="O52" s="48">
        <f>510900001-282601392</f>
        <v>228298609</v>
      </c>
      <c r="P52" s="26">
        <f>275100000-152169980</f>
        <v>122930020</v>
      </c>
      <c r="Q52" s="44"/>
      <c r="R52" s="44"/>
      <c r="S52" s="29"/>
      <c r="T52" s="29"/>
      <c r="U52" s="29" t="s">
        <v>46</v>
      </c>
      <c r="V52" s="29" t="s">
        <v>182</v>
      </c>
      <c r="W52" s="29" t="s">
        <v>170</v>
      </c>
      <c r="X52" s="29" t="s">
        <v>41</v>
      </c>
      <c r="Y52" s="29" t="s">
        <v>42</v>
      </c>
      <c r="Z52" s="30" t="s">
        <v>184</v>
      </c>
      <c r="AA52" s="39" t="s">
        <v>44</v>
      </c>
    </row>
    <row r="53" spans="1:27" s="6" customFormat="1" ht="42.75" customHeight="1" x14ac:dyDescent="0.25">
      <c r="A53" s="17" t="s">
        <v>166</v>
      </c>
      <c r="B53" s="43">
        <v>81112006</v>
      </c>
      <c r="C53" s="19" t="s">
        <v>193</v>
      </c>
      <c r="D53" s="19"/>
      <c r="E53" s="20">
        <v>44074</v>
      </c>
      <c r="F53" s="37" t="s">
        <v>160</v>
      </c>
      <c r="G53" s="49" t="s">
        <v>194</v>
      </c>
      <c r="H53" s="47">
        <v>140</v>
      </c>
      <c r="I53" s="23" t="s">
        <v>28</v>
      </c>
      <c r="J53" s="19" t="s">
        <v>144</v>
      </c>
      <c r="K53" s="24" t="s">
        <v>195</v>
      </c>
      <c r="L53" s="24" t="s">
        <v>36</v>
      </c>
      <c r="M53" s="26">
        <f t="shared" si="1"/>
        <v>377878572</v>
      </c>
      <c r="N53" s="26">
        <f t="shared" si="0"/>
        <v>377878572</v>
      </c>
      <c r="O53" s="26">
        <v>113363572</v>
      </c>
      <c r="P53" s="26">
        <v>264515000</v>
      </c>
      <c r="Q53" s="44"/>
      <c r="R53" s="44"/>
      <c r="S53" s="29" t="s">
        <v>37</v>
      </c>
      <c r="T53" s="29" t="s">
        <v>38</v>
      </c>
      <c r="U53" s="29"/>
      <c r="V53" s="29" t="s">
        <v>196</v>
      </c>
      <c r="W53" s="29" t="s">
        <v>170</v>
      </c>
      <c r="X53" s="29" t="s">
        <v>41</v>
      </c>
      <c r="Y53" s="29" t="s">
        <v>42</v>
      </c>
      <c r="Z53" s="30" t="s">
        <v>171</v>
      </c>
      <c r="AA53" s="39" t="s">
        <v>44</v>
      </c>
    </row>
    <row r="54" spans="1:27" s="6" customFormat="1" ht="57" customHeight="1" x14ac:dyDescent="0.25">
      <c r="A54" s="17" t="s">
        <v>166</v>
      </c>
      <c r="B54" s="43">
        <v>45121504</v>
      </c>
      <c r="C54" s="19" t="s">
        <v>197</v>
      </c>
      <c r="D54" s="19"/>
      <c r="E54" s="20">
        <v>43951</v>
      </c>
      <c r="F54" s="46" t="s">
        <v>89</v>
      </c>
      <c r="G54" s="34" t="s">
        <v>82</v>
      </c>
      <c r="H54" s="47">
        <v>45</v>
      </c>
      <c r="I54" s="23" t="s">
        <v>180</v>
      </c>
      <c r="J54" s="19" t="s">
        <v>198</v>
      </c>
      <c r="K54" s="24" t="s">
        <v>181</v>
      </c>
      <c r="L54" s="24" t="s">
        <v>36</v>
      </c>
      <c r="M54" s="26">
        <f t="shared" si="1"/>
        <v>198000000</v>
      </c>
      <c r="N54" s="26">
        <f t="shared" si="0"/>
        <v>198000000</v>
      </c>
      <c r="O54" s="48">
        <v>128700000</v>
      </c>
      <c r="P54" s="26">
        <v>69300000</v>
      </c>
      <c r="Q54" s="44"/>
      <c r="R54" s="44"/>
      <c r="S54" s="29" t="s">
        <v>37</v>
      </c>
      <c r="T54" s="29" t="s">
        <v>38</v>
      </c>
      <c r="U54" s="29" t="s">
        <v>72</v>
      </c>
      <c r="V54" s="29" t="s">
        <v>199</v>
      </c>
      <c r="W54" s="29" t="s">
        <v>170</v>
      </c>
      <c r="X54" s="29" t="s">
        <v>41</v>
      </c>
      <c r="Y54" s="29" t="s">
        <v>42</v>
      </c>
      <c r="Z54" s="30" t="s">
        <v>171</v>
      </c>
      <c r="AA54" s="39" t="s">
        <v>44</v>
      </c>
    </row>
    <row r="55" spans="1:27" s="6" customFormat="1" ht="57" customHeight="1" x14ac:dyDescent="0.25">
      <c r="A55" s="17" t="s">
        <v>166</v>
      </c>
      <c r="B55" s="18">
        <v>43211902</v>
      </c>
      <c r="C55" s="50" t="s">
        <v>200</v>
      </c>
      <c r="D55" s="50"/>
      <c r="E55" s="20">
        <v>44073</v>
      </c>
      <c r="F55" s="37" t="s">
        <v>160</v>
      </c>
      <c r="G55" s="49" t="s">
        <v>194</v>
      </c>
      <c r="H55" s="47">
        <v>60</v>
      </c>
      <c r="I55" s="23" t="s">
        <v>180</v>
      </c>
      <c r="J55" s="51" t="s">
        <v>70</v>
      </c>
      <c r="K55" s="24" t="s">
        <v>181</v>
      </c>
      <c r="L55" s="24" t="s">
        <v>36</v>
      </c>
      <c r="M55" s="26">
        <f t="shared" si="1"/>
        <v>81730000</v>
      </c>
      <c r="N55" s="26">
        <f t="shared" si="0"/>
        <v>81730000</v>
      </c>
      <c r="O55" s="48">
        <v>24519000</v>
      </c>
      <c r="P55" s="26">
        <v>57211000</v>
      </c>
      <c r="Q55" s="44"/>
      <c r="R55" s="44"/>
      <c r="S55" s="29" t="s">
        <v>37</v>
      </c>
      <c r="T55" s="29" t="s">
        <v>38</v>
      </c>
      <c r="U55" s="29"/>
      <c r="V55" s="29" t="s">
        <v>196</v>
      </c>
      <c r="W55" s="29" t="s">
        <v>170</v>
      </c>
      <c r="X55" s="29" t="s">
        <v>41</v>
      </c>
      <c r="Y55" s="29" t="s">
        <v>42</v>
      </c>
      <c r="Z55" s="30" t="s">
        <v>171</v>
      </c>
      <c r="AA55" s="39" t="s">
        <v>44</v>
      </c>
    </row>
    <row r="56" spans="1:27" s="52" customFormat="1" ht="128.15" customHeight="1" x14ac:dyDescent="0.25">
      <c r="A56" s="17" t="s">
        <v>166</v>
      </c>
      <c r="B56" s="18">
        <v>43223306</v>
      </c>
      <c r="C56" s="19" t="s">
        <v>201</v>
      </c>
      <c r="D56" s="19"/>
      <c r="E56" s="20">
        <v>44012</v>
      </c>
      <c r="F56" s="46" t="s">
        <v>202</v>
      </c>
      <c r="G56" s="34" t="s">
        <v>115</v>
      </c>
      <c r="H56" s="18">
        <v>4</v>
      </c>
      <c r="I56" s="23" t="s">
        <v>33</v>
      </c>
      <c r="J56" s="19" t="s">
        <v>198</v>
      </c>
      <c r="K56" s="24" t="s">
        <v>181</v>
      </c>
      <c r="L56" s="24" t="s">
        <v>36</v>
      </c>
      <c r="M56" s="26">
        <f t="shared" si="1"/>
        <v>2420279669</v>
      </c>
      <c r="N56" s="26">
        <f t="shared" si="0"/>
        <v>2420279669</v>
      </c>
      <c r="O56" s="41">
        <v>726083901</v>
      </c>
      <c r="P56" s="26">
        <v>1694195768</v>
      </c>
      <c r="Q56" s="26"/>
      <c r="R56" s="26"/>
      <c r="S56" s="29" t="s">
        <v>37</v>
      </c>
      <c r="T56" s="29" t="s">
        <v>38</v>
      </c>
      <c r="U56" s="29" t="s">
        <v>72</v>
      </c>
      <c r="V56" s="29" t="s">
        <v>203</v>
      </c>
      <c r="W56" s="29" t="s">
        <v>170</v>
      </c>
      <c r="X56" s="29" t="s">
        <v>41</v>
      </c>
      <c r="Y56" s="29" t="s">
        <v>42</v>
      </c>
      <c r="Z56" s="30" t="s">
        <v>171</v>
      </c>
      <c r="AA56" s="39" t="s">
        <v>44</v>
      </c>
    </row>
    <row r="57" spans="1:27" s="6" customFormat="1" ht="57" customHeight="1" x14ac:dyDescent="0.25">
      <c r="A57" s="17" t="s">
        <v>166</v>
      </c>
      <c r="B57" s="18">
        <v>81112501</v>
      </c>
      <c r="C57" s="50" t="s">
        <v>204</v>
      </c>
      <c r="D57" s="50"/>
      <c r="E57" s="20">
        <v>44012</v>
      </c>
      <c r="F57" s="34" t="s">
        <v>202</v>
      </c>
      <c r="G57" s="53" t="s">
        <v>53</v>
      </c>
      <c r="H57" s="18">
        <v>12</v>
      </c>
      <c r="I57" s="23" t="s">
        <v>33</v>
      </c>
      <c r="J57" s="19" t="s">
        <v>34</v>
      </c>
      <c r="K57" s="24" t="s">
        <v>205</v>
      </c>
      <c r="L57" s="24" t="s">
        <v>36</v>
      </c>
      <c r="M57" s="26">
        <f t="shared" si="1"/>
        <v>2500710554</v>
      </c>
      <c r="N57" s="26">
        <f t="shared" si="0"/>
        <v>2500710554</v>
      </c>
      <c r="O57" s="26">
        <f>289499154+460714012</f>
        <v>750213166</v>
      </c>
      <c r="P57" s="26">
        <f>675498027+1074999361</f>
        <v>1750497388</v>
      </c>
      <c r="Q57" s="26"/>
      <c r="R57" s="26"/>
      <c r="S57" s="29" t="s">
        <v>37</v>
      </c>
      <c r="T57" s="29" t="s">
        <v>38</v>
      </c>
      <c r="U57" s="29"/>
      <c r="V57" s="29" t="s">
        <v>206</v>
      </c>
      <c r="W57" s="29" t="s">
        <v>170</v>
      </c>
      <c r="X57" s="29" t="s">
        <v>41</v>
      </c>
      <c r="Y57" s="29" t="s">
        <v>42</v>
      </c>
      <c r="Z57" s="30" t="s">
        <v>171</v>
      </c>
      <c r="AA57" s="39" t="s">
        <v>44</v>
      </c>
    </row>
    <row r="58" spans="1:27" s="6" customFormat="1" ht="57" customHeight="1" x14ac:dyDescent="0.25">
      <c r="A58" s="17" t="s">
        <v>166</v>
      </c>
      <c r="B58" s="18">
        <v>81112501</v>
      </c>
      <c r="C58" s="50" t="s">
        <v>207</v>
      </c>
      <c r="D58" s="50"/>
      <c r="E58" s="20">
        <v>44074</v>
      </c>
      <c r="F58" s="53" t="s">
        <v>160</v>
      </c>
      <c r="G58" s="53" t="s">
        <v>194</v>
      </c>
      <c r="H58" s="18">
        <v>12</v>
      </c>
      <c r="I58" s="23" t="s">
        <v>33</v>
      </c>
      <c r="J58" s="19" t="s">
        <v>70</v>
      </c>
      <c r="K58" s="24" t="s">
        <v>205</v>
      </c>
      <c r="L58" s="24" t="s">
        <v>36</v>
      </c>
      <c r="M58" s="26">
        <f t="shared" si="1"/>
        <v>254901350</v>
      </c>
      <c r="N58" s="26">
        <f t="shared" si="0"/>
        <v>254901350</v>
      </c>
      <c r="O58" s="55">
        <f>73838438+2631967</f>
        <v>76470405</v>
      </c>
      <c r="P58" s="48">
        <f>172289689+6141256</f>
        <v>178430945</v>
      </c>
      <c r="Q58" s="26"/>
      <c r="R58" s="26"/>
      <c r="S58" s="29" t="s">
        <v>37</v>
      </c>
      <c r="T58" s="29" t="s">
        <v>38</v>
      </c>
      <c r="U58" s="29" t="s">
        <v>72</v>
      </c>
      <c r="V58" s="29" t="s">
        <v>206</v>
      </c>
      <c r="W58" s="29" t="s">
        <v>170</v>
      </c>
      <c r="X58" s="29" t="s">
        <v>41</v>
      </c>
      <c r="Y58" s="29" t="s">
        <v>42</v>
      </c>
      <c r="Z58" s="30" t="s">
        <v>171</v>
      </c>
      <c r="AA58" s="39" t="s">
        <v>44</v>
      </c>
    </row>
    <row r="59" spans="1:27" s="6" customFormat="1" ht="57" customHeight="1" x14ac:dyDescent="0.25">
      <c r="A59" s="17" t="s">
        <v>166</v>
      </c>
      <c r="B59" s="18">
        <v>81112501</v>
      </c>
      <c r="C59" s="50" t="s">
        <v>208</v>
      </c>
      <c r="D59" s="50"/>
      <c r="E59" s="20">
        <v>44048</v>
      </c>
      <c r="F59" s="37" t="s">
        <v>160</v>
      </c>
      <c r="G59" s="34" t="s">
        <v>194</v>
      </c>
      <c r="H59" s="18">
        <v>12</v>
      </c>
      <c r="I59" s="23" t="s">
        <v>33</v>
      </c>
      <c r="J59" s="19" t="s">
        <v>70</v>
      </c>
      <c r="K59" s="24" t="s">
        <v>205</v>
      </c>
      <c r="L59" s="24" t="s">
        <v>36</v>
      </c>
      <c r="M59" s="26">
        <f t="shared" si="1"/>
        <v>247501759</v>
      </c>
      <c r="N59" s="26">
        <f t="shared" si="0"/>
        <v>247501759</v>
      </c>
      <c r="O59" s="26">
        <v>74250528</v>
      </c>
      <c r="P59" s="41">
        <v>173251231</v>
      </c>
      <c r="Q59" s="26"/>
      <c r="R59" s="26"/>
      <c r="S59" s="29" t="s">
        <v>37</v>
      </c>
      <c r="T59" s="29" t="s">
        <v>38</v>
      </c>
      <c r="U59" s="29"/>
      <c r="V59" s="29" t="s">
        <v>206</v>
      </c>
      <c r="W59" s="29" t="s">
        <v>170</v>
      </c>
      <c r="X59" s="29" t="s">
        <v>41</v>
      </c>
      <c r="Y59" s="29" t="s">
        <v>42</v>
      </c>
      <c r="Z59" s="30" t="s">
        <v>171</v>
      </c>
      <c r="AA59" s="39" t="s">
        <v>44</v>
      </c>
    </row>
    <row r="60" spans="1:27" s="6" customFormat="1" ht="57" customHeight="1" x14ac:dyDescent="0.25">
      <c r="A60" s="17" t="s">
        <v>166</v>
      </c>
      <c r="B60" s="18">
        <v>81112501</v>
      </c>
      <c r="C60" s="50" t="s">
        <v>209</v>
      </c>
      <c r="D60" s="50"/>
      <c r="E60" s="20">
        <v>44048</v>
      </c>
      <c r="F60" s="37" t="s">
        <v>160</v>
      </c>
      <c r="G60" s="34" t="s">
        <v>194</v>
      </c>
      <c r="H60" s="18">
        <v>12</v>
      </c>
      <c r="I60" s="23" t="s">
        <v>33</v>
      </c>
      <c r="J60" s="19" t="s">
        <v>70</v>
      </c>
      <c r="K60" s="24" t="s">
        <v>205</v>
      </c>
      <c r="L60" s="24" t="s">
        <v>36</v>
      </c>
      <c r="M60" s="26">
        <f t="shared" si="1"/>
        <v>79021759</v>
      </c>
      <c r="N60" s="26">
        <f t="shared" si="0"/>
        <v>79021759</v>
      </c>
      <c r="O60" s="26">
        <v>23706528</v>
      </c>
      <c r="P60" s="41">
        <v>55315231</v>
      </c>
      <c r="Q60" s="26"/>
      <c r="R60" s="26"/>
      <c r="S60" s="29" t="s">
        <v>37</v>
      </c>
      <c r="T60" s="29" t="s">
        <v>38</v>
      </c>
      <c r="U60" s="29"/>
      <c r="V60" s="29" t="s">
        <v>206</v>
      </c>
      <c r="W60" s="29" t="s">
        <v>170</v>
      </c>
      <c r="X60" s="29" t="s">
        <v>41</v>
      </c>
      <c r="Y60" s="29" t="s">
        <v>42</v>
      </c>
      <c r="Z60" s="30" t="s">
        <v>171</v>
      </c>
      <c r="AA60" s="39" t="s">
        <v>44</v>
      </c>
    </row>
    <row r="61" spans="1:27" s="6" customFormat="1" ht="57" customHeight="1" x14ac:dyDescent="0.25">
      <c r="A61" s="17" t="s">
        <v>166</v>
      </c>
      <c r="B61" s="18">
        <v>81112501</v>
      </c>
      <c r="C61" s="50" t="s">
        <v>210</v>
      </c>
      <c r="D61" s="50"/>
      <c r="E61" s="20">
        <v>43987</v>
      </c>
      <c r="F61" s="37" t="s">
        <v>202</v>
      </c>
      <c r="G61" s="49" t="s">
        <v>115</v>
      </c>
      <c r="H61" s="18">
        <v>12</v>
      </c>
      <c r="I61" s="23" t="s">
        <v>33</v>
      </c>
      <c r="J61" s="19" t="s">
        <v>173</v>
      </c>
      <c r="K61" s="24" t="s">
        <v>205</v>
      </c>
      <c r="L61" s="24" t="s">
        <v>36</v>
      </c>
      <c r="M61" s="26">
        <f t="shared" si="1"/>
        <v>98456433</v>
      </c>
      <c r="N61" s="26">
        <f t="shared" si="0"/>
        <v>98456433</v>
      </c>
      <c r="O61" s="26">
        <f>34709365-5172435</f>
        <v>29536930</v>
      </c>
      <c r="P61" s="41">
        <f>80988519-12069016</f>
        <v>68919503</v>
      </c>
      <c r="Q61" s="26"/>
      <c r="R61" s="26"/>
      <c r="S61" s="29" t="s">
        <v>37</v>
      </c>
      <c r="T61" s="29" t="s">
        <v>38</v>
      </c>
      <c r="U61" s="29"/>
      <c r="V61" s="29" t="s">
        <v>196</v>
      </c>
      <c r="W61" s="29" t="s">
        <v>170</v>
      </c>
      <c r="X61" s="29" t="s">
        <v>41</v>
      </c>
      <c r="Y61" s="29" t="s">
        <v>42</v>
      </c>
      <c r="Z61" s="30" t="s">
        <v>171</v>
      </c>
      <c r="AA61" s="39" t="s">
        <v>44</v>
      </c>
    </row>
    <row r="62" spans="1:27" s="6" customFormat="1" ht="57" customHeight="1" x14ac:dyDescent="0.25">
      <c r="A62" s="17" t="s">
        <v>166</v>
      </c>
      <c r="B62" s="18"/>
      <c r="C62" s="50" t="s">
        <v>211</v>
      </c>
      <c r="D62" s="50"/>
      <c r="E62" s="20"/>
      <c r="F62" s="37"/>
      <c r="G62" s="49"/>
      <c r="H62" s="18"/>
      <c r="I62" s="23"/>
      <c r="J62" s="19"/>
      <c r="K62" s="24" t="s">
        <v>205</v>
      </c>
      <c r="L62" s="24" t="s">
        <v>109</v>
      </c>
      <c r="M62" s="26">
        <f>+N62+Q62+R62</f>
        <v>17241451</v>
      </c>
      <c r="N62" s="26">
        <f t="shared" si="0"/>
        <v>17241451</v>
      </c>
      <c r="O62" s="26">
        <f>34709366-29536931</f>
        <v>5172435</v>
      </c>
      <c r="P62" s="41">
        <f>80988520-68919504</f>
        <v>12069016</v>
      </c>
      <c r="Q62" s="26"/>
      <c r="R62" s="26"/>
      <c r="S62" s="29" t="s">
        <v>37</v>
      </c>
      <c r="T62" s="29" t="s">
        <v>38</v>
      </c>
      <c r="U62" s="29" t="s">
        <v>46</v>
      </c>
      <c r="V62" s="29"/>
      <c r="W62" s="29"/>
      <c r="X62" s="29"/>
      <c r="Y62" s="29"/>
      <c r="Z62" s="30"/>
      <c r="AA62" s="39"/>
    </row>
    <row r="63" spans="1:27" s="6" customFormat="1" ht="57" customHeight="1" x14ac:dyDescent="0.25">
      <c r="A63" s="17" t="s">
        <v>166</v>
      </c>
      <c r="B63" s="18">
        <v>81112501</v>
      </c>
      <c r="C63" s="50" t="s">
        <v>212</v>
      </c>
      <c r="D63" s="50"/>
      <c r="E63" s="20">
        <v>43830</v>
      </c>
      <c r="F63" s="53" t="s">
        <v>150</v>
      </c>
      <c r="G63" s="53" t="s">
        <v>96</v>
      </c>
      <c r="H63" s="18">
        <v>12</v>
      </c>
      <c r="I63" s="23" t="s">
        <v>33</v>
      </c>
      <c r="J63" s="19" t="s">
        <v>34</v>
      </c>
      <c r="K63" s="24" t="s">
        <v>205</v>
      </c>
      <c r="L63" s="24" t="s">
        <v>36</v>
      </c>
      <c r="M63" s="26">
        <f t="shared" si="1"/>
        <v>46581360</v>
      </c>
      <c r="N63" s="26">
        <f t="shared" si="0"/>
        <v>46581360</v>
      </c>
      <c r="O63" s="54">
        <f>30290000-12116</f>
        <v>30277884</v>
      </c>
      <c r="P63" s="41">
        <f>16310000-6524</f>
        <v>16303476</v>
      </c>
      <c r="Q63" s="26"/>
      <c r="R63" s="26"/>
      <c r="S63" s="29" t="s">
        <v>37</v>
      </c>
      <c r="T63" s="29" t="s">
        <v>38</v>
      </c>
      <c r="U63" s="29" t="s">
        <v>51</v>
      </c>
      <c r="V63" s="29" t="s">
        <v>213</v>
      </c>
      <c r="W63" s="29" t="s">
        <v>170</v>
      </c>
      <c r="X63" s="29" t="s">
        <v>41</v>
      </c>
      <c r="Y63" s="29" t="s">
        <v>42</v>
      </c>
      <c r="Z63" s="30" t="s">
        <v>171</v>
      </c>
      <c r="AA63" s="39" t="s">
        <v>44</v>
      </c>
    </row>
    <row r="64" spans="1:27" s="6" customFormat="1" ht="57" customHeight="1" x14ac:dyDescent="0.25">
      <c r="A64" s="17" t="s">
        <v>166</v>
      </c>
      <c r="B64" s="18">
        <v>81112501</v>
      </c>
      <c r="C64" s="50" t="s">
        <v>214</v>
      </c>
      <c r="D64" s="50"/>
      <c r="E64" s="20"/>
      <c r="F64" s="53"/>
      <c r="G64" s="53"/>
      <c r="H64" s="18"/>
      <c r="I64" s="23"/>
      <c r="J64" s="19"/>
      <c r="K64" s="24" t="s">
        <v>205</v>
      </c>
      <c r="L64" s="24" t="s">
        <v>36</v>
      </c>
      <c r="M64" s="26">
        <f>+N64+Q64+R64</f>
        <v>18640</v>
      </c>
      <c r="N64" s="26">
        <f t="shared" si="0"/>
        <v>18640</v>
      </c>
      <c r="O64" s="54">
        <f>30290000-30277884</f>
        <v>12116</v>
      </c>
      <c r="P64" s="41">
        <f>16310000-16303476</f>
        <v>6524</v>
      </c>
      <c r="Q64" s="26"/>
      <c r="R64" s="26"/>
      <c r="S64" s="29"/>
      <c r="T64" s="29"/>
      <c r="U64" s="29" t="s">
        <v>46</v>
      </c>
      <c r="V64" s="29"/>
      <c r="W64" s="29"/>
      <c r="X64" s="29"/>
      <c r="Y64" s="29"/>
      <c r="Z64" s="30"/>
      <c r="AA64" s="39"/>
    </row>
    <row r="65" spans="1:27" s="6" customFormat="1" ht="57" customHeight="1" x14ac:dyDescent="0.25">
      <c r="A65" s="17" t="s">
        <v>166</v>
      </c>
      <c r="B65" s="18">
        <v>81112501</v>
      </c>
      <c r="C65" s="50" t="s">
        <v>215</v>
      </c>
      <c r="D65" s="50"/>
      <c r="E65" s="20">
        <v>44048</v>
      </c>
      <c r="F65" s="37" t="s">
        <v>160</v>
      </c>
      <c r="G65" s="34" t="s">
        <v>194</v>
      </c>
      <c r="H65" s="18">
        <v>12</v>
      </c>
      <c r="I65" s="23" t="s">
        <v>33</v>
      </c>
      <c r="J65" s="19" t="s">
        <v>70</v>
      </c>
      <c r="K65" s="24" t="s">
        <v>205</v>
      </c>
      <c r="L65" s="24" t="s">
        <v>36</v>
      </c>
      <c r="M65" s="26">
        <f t="shared" si="1"/>
        <v>161696759</v>
      </c>
      <c r="N65" s="26">
        <f t="shared" si="0"/>
        <v>161696759</v>
      </c>
      <c r="O65" s="55">
        <v>48509028</v>
      </c>
      <c r="P65" s="41">
        <v>113187731</v>
      </c>
      <c r="Q65" s="26"/>
      <c r="R65" s="26"/>
      <c r="S65" s="29" t="s">
        <v>37</v>
      </c>
      <c r="T65" s="29" t="s">
        <v>38</v>
      </c>
      <c r="U65" s="29"/>
      <c r="V65" s="29" t="s">
        <v>196</v>
      </c>
      <c r="W65" s="29" t="s">
        <v>170</v>
      </c>
      <c r="X65" s="29" t="s">
        <v>41</v>
      </c>
      <c r="Y65" s="29" t="s">
        <v>42</v>
      </c>
      <c r="Z65" s="30" t="s">
        <v>171</v>
      </c>
      <c r="AA65" s="39" t="s">
        <v>44</v>
      </c>
    </row>
    <row r="66" spans="1:27" s="6" customFormat="1" ht="57" customHeight="1" x14ac:dyDescent="0.25">
      <c r="A66" s="17" t="s">
        <v>166</v>
      </c>
      <c r="B66" s="18">
        <v>81112501</v>
      </c>
      <c r="C66" s="50" t="s">
        <v>216</v>
      </c>
      <c r="D66" s="50"/>
      <c r="E66" s="20">
        <v>44135</v>
      </c>
      <c r="F66" s="29" t="s">
        <v>217</v>
      </c>
      <c r="G66" s="34" t="s">
        <v>217</v>
      </c>
      <c r="H66" s="18">
        <v>2</v>
      </c>
      <c r="I66" s="23" t="s">
        <v>33</v>
      </c>
      <c r="J66" s="19" t="s">
        <v>34</v>
      </c>
      <c r="K66" s="24" t="s">
        <v>205</v>
      </c>
      <c r="L66" s="24" t="s">
        <v>36</v>
      </c>
      <c r="M66" s="26">
        <f t="shared" si="1"/>
        <v>935093622</v>
      </c>
      <c r="N66" s="26">
        <f t="shared" si="0"/>
        <v>935093622</v>
      </c>
      <c r="O66" s="26">
        <f>161175052+119353035</f>
        <v>280528087</v>
      </c>
      <c r="P66" s="26">
        <f>376075120+278490415</f>
        <v>654565535</v>
      </c>
      <c r="Q66" s="26"/>
      <c r="R66" s="26"/>
      <c r="S66" s="29" t="s">
        <v>37</v>
      </c>
      <c r="T66" s="29" t="s">
        <v>38</v>
      </c>
      <c r="U66" s="29"/>
      <c r="V66" s="29" t="s">
        <v>206</v>
      </c>
      <c r="W66" s="29" t="s">
        <v>170</v>
      </c>
      <c r="X66" s="29" t="s">
        <v>41</v>
      </c>
      <c r="Y66" s="29" t="s">
        <v>42</v>
      </c>
      <c r="Z66" s="30" t="s">
        <v>171</v>
      </c>
      <c r="AA66" s="39" t="s">
        <v>44</v>
      </c>
    </row>
    <row r="67" spans="1:27" s="6" customFormat="1" ht="57" customHeight="1" x14ac:dyDescent="0.25">
      <c r="A67" s="17" t="s">
        <v>166</v>
      </c>
      <c r="B67" s="18">
        <v>81112501</v>
      </c>
      <c r="C67" s="19" t="s">
        <v>218</v>
      </c>
      <c r="D67" s="50"/>
      <c r="E67" s="20">
        <v>43987</v>
      </c>
      <c r="F67" s="37" t="s">
        <v>202</v>
      </c>
      <c r="G67" s="49" t="s">
        <v>115</v>
      </c>
      <c r="H67" s="18">
        <v>12</v>
      </c>
      <c r="I67" s="23" t="s">
        <v>33</v>
      </c>
      <c r="J67" s="19" t="s">
        <v>173</v>
      </c>
      <c r="K67" s="24" t="s">
        <v>205</v>
      </c>
      <c r="L67" s="24" t="s">
        <v>36</v>
      </c>
      <c r="M67" s="26">
        <f t="shared" si="1"/>
        <v>39605955</v>
      </c>
      <c r="N67" s="56">
        <f t="shared" si="0"/>
        <v>39605955</v>
      </c>
      <c r="O67" s="48">
        <v>11881786</v>
      </c>
      <c r="P67" s="41">
        <v>27724169</v>
      </c>
      <c r="Q67" s="26"/>
      <c r="R67" s="26"/>
      <c r="S67" s="29" t="s">
        <v>37</v>
      </c>
      <c r="T67" s="29" t="s">
        <v>38</v>
      </c>
      <c r="U67" s="29"/>
      <c r="V67" s="29" t="s">
        <v>206</v>
      </c>
      <c r="W67" s="29" t="s">
        <v>170</v>
      </c>
      <c r="X67" s="29" t="s">
        <v>41</v>
      </c>
      <c r="Y67" s="29" t="s">
        <v>42</v>
      </c>
      <c r="Z67" s="30" t="s">
        <v>171</v>
      </c>
      <c r="AA67" s="39" t="s">
        <v>44</v>
      </c>
    </row>
    <row r="68" spans="1:27" s="6" customFormat="1" ht="57" customHeight="1" x14ac:dyDescent="0.25">
      <c r="A68" s="17" t="s">
        <v>166</v>
      </c>
      <c r="B68" s="18">
        <v>81112501</v>
      </c>
      <c r="C68" s="19" t="s">
        <v>219</v>
      </c>
      <c r="D68" s="50"/>
      <c r="E68" s="20">
        <v>44074</v>
      </c>
      <c r="F68" s="46" t="s">
        <v>82</v>
      </c>
      <c r="G68" s="46" t="s">
        <v>53</v>
      </c>
      <c r="H68" s="18">
        <v>1</v>
      </c>
      <c r="I68" s="23" t="s">
        <v>33</v>
      </c>
      <c r="J68" s="19" t="s">
        <v>173</v>
      </c>
      <c r="K68" s="24" t="s">
        <v>205</v>
      </c>
      <c r="L68" s="24" t="s">
        <v>36</v>
      </c>
      <c r="M68" s="26">
        <f t="shared" si="1"/>
        <v>71181759</v>
      </c>
      <c r="N68" s="56">
        <f t="shared" si="0"/>
        <v>71181759</v>
      </c>
      <c r="O68" s="48">
        <v>21354528</v>
      </c>
      <c r="P68" s="41">
        <v>49827231</v>
      </c>
      <c r="Q68" s="26"/>
      <c r="R68" s="26"/>
      <c r="S68" s="29" t="s">
        <v>37</v>
      </c>
      <c r="T68" s="29" t="s">
        <v>38</v>
      </c>
      <c r="U68" s="29"/>
      <c r="V68" s="29" t="s">
        <v>206</v>
      </c>
      <c r="W68" s="29" t="s">
        <v>170</v>
      </c>
      <c r="X68" s="29" t="s">
        <v>41</v>
      </c>
      <c r="Y68" s="29" t="s">
        <v>42</v>
      </c>
      <c r="Z68" s="30" t="s">
        <v>171</v>
      </c>
      <c r="AA68" s="39" t="s">
        <v>44</v>
      </c>
    </row>
    <row r="69" spans="1:27" s="6" customFormat="1" ht="57" customHeight="1" x14ac:dyDescent="0.25">
      <c r="A69" s="17" t="s">
        <v>166</v>
      </c>
      <c r="B69" s="18">
        <v>81112501</v>
      </c>
      <c r="C69" s="50" t="s">
        <v>220</v>
      </c>
      <c r="D69" s="50"/>
      <c r="E69" s="20">
        <v>43889</v>
      </c>
      <c r="F69" s="29" t="s">
        <v>89</v>
      </c>
      <c r="G69" s="34" t="s">
        <v>82</v>
      </c>
      <c r="H69" s="18">
        <v>12</v>
      </c>
      <c r="I69" s="23" t="s">
        <v>33</v>
      </c>
      <c r="J69" s="19" t="s">
        <v>173</v>
      </c>
      <c r="K69" s="24" t="s">
        <v>205</v>
      </c>
      <c r="L69" s="24" t="s">
        <v>36</v>
      </c>
      <c r="M69" s="26">
        <f t="shared" si="1"/>
        <v>291064798</v>
      </c>
      <c r="N69" s="26">
        <f t="shared" si="0"/>
        <v>291064798</v>
      </c>
      <c r="O69" s="26">
        <f>208497849-19305730</f>
        <v>189192119</v>
      </c>
      <c r="P69" s="26">
        <f>112268073-10395394</f>
        <v>101872679</v>
      </c>
      <c r="Q69" s="26"/>
      <c r="R69" s="26"/>
      <c r="S69" s="29" t="s">
        <v>37</v>
      </c>
      <c r="T69" s="29" t="s">
        <v>38</v>
      </c>
      <c r="U69" s="29" t="s">
        <v>98</v>
      </c>
      <c r="V69" s="29" t="s">
        <v>206</v>
      </c>
      <c r="W69" s="29" t="s">
        <v>170</v>
      </c>
      <c r="X69" s="29" t="s">
        <v>41</v>
      </c>
      <c r="Y69" s="29" t="s">
        <v>42</v>
      </c>
      <c r="Z69" s="30" t="s">
        <v>171</v>
      </c>
      <c r="AA69" s="39" t="s">
        <v>44</v>
      </c>
    </row>
    <row r="70" spans="1:27" s="6" customFormat="1" ht="57" customHeight="1" x14ac:dyDescent="0.25">
      <c r="A70" s="17" t="s">
        <v>166</v>
      </c>
      <c r="B70" s="18">
        <v>81111811</v>
      </c>
      <c r="C70" s="50" t="s">
        <v>221</v>
      </c>
      <c r="D70" s="50"/>
      <c r="E70" s="20">
        <v>43951</v>
      </c>
      <c r="F70" s="29" t="s">
        <v>32</v>
      </c>
      <c r="G70" s="34" t="s">
        <v>202</v>
      </c>
      <c r="H70" s="18">
        <v>12</v>
      </c>
      <c r="I70" s="23" t="s">
        <v>33</v>
      </c>
      <c r="J70" s="19" t="s">
        <v>34</v>
      </c>
      <c r="K70" s="29" t="s">
        <v>222</v>
      </c>
      <c r="L70" s="24" t="s">
        <v>223</v>
      </c>
      <c r="M70" s="26">
        <f t="shared" si="1"/>
        <v>529173412</v>
      </c>
      <c r="N70" s="26">
        <f t="shared" ref="N70:N133" si="2">+O70+P70</f>
        <v>529173412</v>
      </c>
      <c r="O70" s="26">
        <v>158752024</v>
      </c>
      <c r="P70" s="26">
        <v>370421388</v>
      </c>
      <c r="Q70" s="26"/>
      <c r="R70" s="26"/>
      <c r="S70" s="29" t="s">
        <v>37</v>
      </c>
      <c r="T70" s="29" t="s">
        <v>38</v>
      </c>
      <c r="U70" s="29" t="s">
        <v>98</v>
      </c>
      <c r="V70" s="29" t="s">
        <v>224</v>
      </c>
      <c r="W70" s="29" t="s">
        <v>170</v>
      </c>
      <c r="X70" s="29" t="s">
        <v>41</v>
      </c>
      <c r="Y70" s="29" t="s">
        <v>42</v>
      </c>
      <c r="Z70" s="30" t="s">
        <v>171</v>
      </c>
      <c r="AA70" s="39" t="s">
        <v>44</v>
      </c>
    </row>
    <row r="71" spans="1:27" s="6" customFormat="1" ht="42.75" customHeight="1" x14ac:dyDescent="0.25">
      <c r="A71" s="17" t="s">
        <v>166</v>
      </c>
      <c r="B71" s="18">
        <v>81111811</v>
      </c>
      <c r="C71" s="19" t="s">
        <v>225</v>
      </c>
      <c r="D71" s="33">
        <v>44773</v>
      </c>
      <c r="E71" s="20"/>
      <c r="F71" s="21"/>
      <c r="G71" s="21"/>
      <c r="H71" s="35"/>
      <c r="I71" s="23"/>
      <c r="J71" s="24" t="s">
        <v>49</v>
      </c>
      <c r="K71" s="24" t="s">
        <v>195</v>
      </c>
      <c r="L71" s="41" t="s">
        <v>36</v>
      </c>
      <c r="M71" s="26">
        <f t="shared" si="1"/>
        <v>13694833606</v>
      </c>
      <c r="N71" s="26">
        <f t="shared" si="2"/>
        <v>5102501873</v>
      </c>
      <c r="O71" s="26">
        <f>5102501873*0.65</f>
        <v>3316626217.4500003</v>
      </c>
      <c r="P71" s="26">
        <f>5102501873*0.35</f>
        <v>1785875655.55</v>
      </c>
      <c r="Q71" s="26">
        <f>5262916643</f>
        <v>5262916643</v>
      </c>
      <c r="R71" s="26">
        <v>3329415090</v>
      </c>
      <c r="S71" s="29" t="s">
        <v>178</v>
      </c>
      <c r="T71" s="29" t="s">
        <v>226</v>
      </c>
      <c r="U71" s="29" t="s">
        <v>51</v>
      </c>
      <c r="V71" s="29"/>
      <c r="W71" s="29" t="s">
        <v>170</v>
      </c>
      <c r="X71" s="29" t="s">
        <v>41</v>
      </c>
      <c r="Y71" s="29" t="s">
        <v>42</v>
      </c>
      <c r="Z71" s="30" t="s">
        <v>171</v>
      </c>
      <c r="AA71" s="39" t="s">
        <v>44</v>
      </c>
    </row>
    <row r="72" spans="1:27" s="6" customFormat="1" ht="57" customHeight="1" x14ac:dyDescent="0.25">
      <c r="A72" s="17" t="s">
        <v>166</v>
      </c>
      <c r="B72" s="18">
        <v>81112501</v>
      </c>
      <c r="C72" s="19" t="s">
        <v>227</v>
      </c>
      <c r="D72" s="19"/>
      <c r="E72" s="20">
        <v>43847</v>
      </c>
      <c r="F72" s="29" t="s">
        <v>150</v>
      </c>
      <c r="G72" s="34" t="s">
        <v>96</v>
      </c>
      <c r="H72" s="18">
        <v>9</v>
      </c>
      <c r="I72" s="23" t="s">
        <v>33</v>
      </c>
      <c r="J72" s="19" t="s">
        <v>173</v>
      </c>
      <c r="K72" s="29" t="s">
        <v>195</v>
      </c>
      <c r="L72" s="24" t="s">
        <v>36</v>
      </c>
      <c r="M72" s="26">
        <f t="shared" si="1"/>
        <v>139096848</v>
      </c>
      <c r="N72" s="26">
        <f t="shared" si="2"/>
        <v>139096848</v>
      </c>
      <c r="O72" s="26">
        <f>99316103-8903152</f>
        <v>90412951</v>
      </c>
      <c r="P72" s="26">
        <v>48683897</v>
      </c>
      <c r="Q72" s="26"/>
      <c r="R72" s="26"/>
      <c r="S72" s="29" t="s">
        <v>37</v>
      </c>
      <c r="T72" s="29" t="s">
        <v>38</v>
      </c>
      <c r="U72" s="29" t="s">
        <v>98</v>
      </c>
      <c r="V72" s="29" t="s">
        <v>228</v>
      </c>
      <c r="W72" s="29" t="s">
        <v>170</v>
      </c>
      <c r="X72" s="29" t="s">
        <v>41</v>
      </c>
      <c r="Y72" s="29" t="s">
        <v>42</v>
      </c>
      <c r="Z72" s="30" t="s">
        <v>171</v>
      </c>
      <c r="AA72" s="39" t="s">
        <v>44</v>
      </c>
    </row>
    <row r="73" spans="1:27" s="6" customFormat="1" ht="57" customHeight="1" x14ac:dyDescent="0.25">
      <c r="A73" s="17" t="s">
        <v>166</v>
      </c>
      <c r="B73" s="18">
        <v>81112501</v>
      </c>
      <c r="C73" s="19" t="s">
        <v>229</v>
      </c>
      <c r="D73" s="19"/>
      <c r="E73" s="20">
        <v>44071</v>
      </c>
      <c r="F73" s="37" t="s">
        <v>160</v>
      </c>
      <c r="G73" s="34" t="s">
        <v>194</v>
      </c>
      <c r="H73" s="22">
        <v>45</v>
      </c>
      <c r="I73" s="23" t="s">
        <v>180</v>
      </c>
      <c r="J73" s="19" t="s">
        <v>230</v>
      </c>
      <c r="K73" s="24" t="s">
        <v>205</v>
      </c>
      <c r="L73" s="24" t="s">
        <v>36</v>
      </c>
      <c r="M73" s="26">
        <f t="shared" si="1"/>
        <v>10000000</v>
      </c>
      <c r="N73" s="26">
        <f t="shared" si="2"/>
        <v>10000000</v>
      </c>
      <c r="O73" s="48">
        <v>3000000</v>
      </c>
      <c r="P73" s="26">
        <v>7000000</v>
      </c>
      <c r="Q73" s="26"/>
      <c r="R73" s="26"/>
      <c r="S73" s="29" t="s">
        <v>37</v>
      </c>
      <c r="T73" s="29" t="s">
        <v>38</v>
      </c>
      <c r="U73" s="29"/>
      <c r="V73" s="29" t="s">
        <v>231</v>
      </c>
      <c r="W73" s="29" t="s">
        <v>170</v>
      </c>
      <c r="X73" s="29" t="s">
        <v>41</v>
      </c>
      <c r="Y73" s="29" t="s">
        <v>42</v>
      </c>
      <c r="Z73" s="30" t="s">
        <v>171</v>
      </c>
      <c r="AA73" s="39" t="s">
        <v>44</v>
      </c>
    </row>
    <row r="74" spans="1:27" s="57" customFormat="1" ht="113.25" customHeight="1" x14ac:dyDescent="0.25">
      <c r="A74" s="17" t="s">
        <v>232</v>
      </c>
      <c r="B74" s="37" t="s">
        <v>233</v>
      </c>
      <c r="C74" s="51" t="s">
        <v>234</v>
      </c>
      <c r="D74" s="51"/>
      <c r="E74" s="20">
        <v>43846</v>
      </c>
      <c r="F74" s="21" t="s">
        <v>96</v>
      </c>
      <c r="G74" s="34" t="s">
        <v>89</v>
      </c>
      <c r="H74" s="22">
        <v>9</v>
      </c>
      <c r="I74" s="23" t="s">
        <v>33</v>
      </c>
      <c r="J74" s="59" t="s">
        <v>230</v>
      </c>
      <c r="K74" s="51" t="s">
        <v>234</v>
      </c>
      <c r="L74" s="59" t="s">
        <v>235</v>
      </c>
      <c r="M74" s="26">
        <f t="shared" si="1"/>
        <v>1832094</v>
      </c>
      <c r="N74" s="26">
        <f t="shared" si="2"/>
        <v>1832094</v>
      </c>
      <c r="O74" s="60">
        <f>2185454-353360</f>
        <v>1832094</v>
      </c>
      <c r="P74" s="60"/>
      <c r="Q74" s="60"/>
      <c r="R74" s="60"/>
      <c r="S74" s="61" t="s">
        <v>37</v>
      </c>
      <c r="T74" s="62" t="s">
        <v>38</v>
      </c>
      <c r="U74" s="62" t="s">
        <v>98</v>
      </c>
      <c r="V74" s="37" t="s">
        <v>236</v>
      </c>
      <c r="W74" s="63" t="s">
        <v>170</v>
      </c>
      <c r="X74" s="62" t="s">
        <v>237</v>
      </c>
      <c r="Y74" s="62" t="s">
        <v>42</v>
      </c>
      <c r="Z74" s="62" t="s">
        <v>171</v>
      </c>
      <c r="AA74" s="64" t="s">
        <v>44</v>
      </c>
    </row>
    <row r="75" spans="1:27" ht="57" customHeight="1" x14ac:dyDescent="0.25">
      <c r="A75" s="17" t="s">
        <v>232</v>
      </c>
      <c r="B75" s="37" t="s">
        <v>238</v>
      </c>
      <c r="C75" s="51" t="s">
        <v>239</v>
      </c>
      <c r="D75" s="51"/>
      <c r="E75" s="20">
        <v>43868</v>
      </c>
      <c r="F75" s="51" t="s">
        <v>96</v>
      </c>
      <c r="G75" s="34" t="s">
        <v>82</v>
      </c>
      <c r="H75" s="58">
        <v>9</v>
      </c>
      <c r="I75" s="23" t="s">
        <v>33</v>
      </c>
      <c r="J75" s="59" t="s">
        <v>70</v>
      </c>
      <c r="K75" s="51" t="s">
        <v>240</v>
      </c>
      <c r="L75" s="59" t="s">
        <v>241</v>
      </c>
      <c r="M75" s="26">
        <f t="shared" si="1"/>
        <v>62990999</v>
      </c>
      <c r="N75" s="26">
        <f t="shared" si="2"/>
        <v>62990999</v>
      </c>
      <c r="O75" s="60">
        <f>68291060-5300061</f>
        <v>62990999</v>
      </c>
      <c r="P75" s="60"/>
      <c r="Q75" s="60"/>
      <c r="R75" s="60"/>
      <c r="S75" s="61" t="s">
        <v>37</v>
      </c>
      <c r="T75" s="62" t="s">
        <v>38</v>
      </c>
      <c r="U75" s="62" t="s">
        <v>98</v>
      </c>
      <c r="V75" s="37" t="s">
        <v>236</v>
      </c>
      <c r="W75" s="63" t="s">
        <v>170</v>
      </c>
      <c r="X75" s="62" t="s">
        <v>237</v>
      </c>
      <c r="Y75" s="62" t="s">
        <v>42</v>
      </c>
      <c r="Z75" s="62" t="s">
        <v>184</v>
      </c>
      <c r="AA75" s="64" t="s">
        <v>44</v>
      </c>
    </row>
    <row r="76" spans="1:27" ht="57" customHeight="1" x14ac:dyDescent="0.25">
      <c r="A76" s="17" t="s">
        <v>232</v>
      </c>
      <c r="B76" s="37" t="s">
        <v>242</v>
      </c>
      <c r="C76" s="51" t="s">
        <v>243</v>
      </c>
      <c r="D76" s="51"/>
      <c r="E76" s="20"/>
      <c r="F76" s="51"/>
      <c r="G76" s="34"/>
      <c r="H76" s="58"/>
      <c r="I76" s="23"/>
      <c r="J76" s="59"/>
      <c r="K76" s="51" t="s">
        <v>240</v>
      </c>
      <c r="L76" s="59" t="s">
        <v>244</v>
      </c>
      <c r="M76" s="26">
        <f>+N76+Q76+R76</f>
        <v>5300061</v>
      </c>
      <c r="N76" s="26">
        <f t="shared" si="2"/>
        <v>5300061</v>
      </c>
      <c r="O76" s="60">
        <f>68291061-62991000</f>
        <v>5300061</v>
      </c>
      <c r="P76" s="60"/>
      <c r="Q76" s="60"/>
      <c r="R76" s="60"/>
      <c r="S76" s="61"/>
      <c r="T76" s="62"/>
      <c r="U76" s="62" t="s">
        <v>46</v>
      </c>
      <c r="V76" s="37"/>
      <c r="W76" s="63"/>
      <c r="X76" s="62"/>
      <c r="Y76" s="62"/>
      <c r="Z76" s="62"/>
      <c r="AA76" s="64"/>
    </row>
    <row r="77" spans="1:27" ht="75" customHeight="1" x14ac:dyDescent="0.3">
      <c r="A77" s="17" t="s">
        <v>232</v>
      </c>
      <c r="B77" s="37" t="s">
        <v>245</v>
      </c>
      <c r="C77" s="51" t="s">
        <v>246</v>
      </c>
      <c r="D77" s="51"/>
      <c r="E77" s="20">
        <v>43868</v>
      </c>
      <c r="F77" s="51" t="s">
        <v>96</v>
      </c>
      <c r="G77" s="34" t="s">
        <v>82</v>
      </c>
      <c r="H77" s="34">
        <v>1</v>
      </c>
      <c r="I77" s="23" t="s">
        <v>33</v>
      </c>
      <c r="J77" s="59" t="s">
        <v>230</v>
      </c>
      <c r="K77" s="51" t="s">
        <v>247</v>
      </c>
      <c r="L77" s="59" t="s">
        <v>248</v>
      </c>
      <c r="M77" s="26">
        <f t="shared" si="1"/>
        <v>34046877</v>
      </c>
      <c r="N77" s="26">
        <f t="shared" si="2"/>
        <v>34046877</v>
      </c>
      <c r="O77" s="60">
        <f>68831207+7473649+1524390+7700000-49021639-2460730</f>
        <v>34046877</v>
      </c>
      <c r="P77" s="60"/>
      <c r="Q77" s="60"/>
      <c r="R77" s="60"/>
      <c r="S77" s="65" t="s">
        <v>37</v>
      </c>
      <c r="T77" s="62" t="s">
        <v>38</v>
      </c>
      <c r="U77" s="62" t="s">
        <v>98</v>
      </c>
      <c r="V77" s="37" t="s">
        <v>236</v>
      </c>
      <c r="W77" s="63" t="s">
        <v>170</v>
      </c>
      <c r="X77" s="62" t="s">
        <v>237</v>
      </c>
      <c r="Y77" s="62" t="s">
        <v>42</v>
      </c>
      <c r="Z77" s="62" t="s">
        <v>249</v>
      </c>
      <c r="AA77" s="64" t="s">
        <v>44</v>
      </c>
    </row>
    <row r="78" spans="1:27" ht="75" customHeight="1" x14ac:dyDescent="0.3">
      <c r="A78" s="17" t="s">
        <v>232</v>
      </c>
      <c r="B78" s="37" t="s">
        <v>245</v>
      </c>
      <c r="C78" s="51" t="s">
        <v>250</v>
      </c>
      <c r="D78" s="51"/>
      <c r="E78" s="20"/>
      <c r="F78" s="51"/>
      <c r="G78" s="34"/>
      <c r="H78" s="34"/>
      <c r="I78" s="23"/>
      <c r="J78" s="59"/>
      <c r="K78" s="51" t="s">
        <v>247</v>
      </c>
      <c r="L78" s="59" t="s">
        <v>248</v>
      </c>
      <c r="M78" s="26">
        <f t="shared" si="1"/>
        <v>2460730</v>
      </c>
      <c r="N78" s="26">
        <f t="shared" si="2"/>
        <v>2460730</v>
      </c>
      <c r="O78" s="60">
        <f>68831207+7473649+1524390+7700000-49021639-34046877</f>
        <v>2460730</v>
      </c>
      <c r="P78" s="60"/>
      <c r="Q78" s="60"/>
      <c r="R78" s="60"/>
      <c r="S78" s="65"/>
      <c r="T78" s="62"/>
      <c r="U78" s="62" t="s">
        <v>46</v>
      </c>
      <c r="V78" s="37" t="s">
        <v>236</v>
      </c>
      <c r="W78" s="63" t="s">
        <v>170</v>
      </c>
      <c r="X78" s="62" t="s">
        <v>237</v>
      </c>
      <c r="Y78" s="62" t="s">
        <v>42</v>
      </c>
      <c r="Z78" s="62" t="s">
        <v>249</v>
      </c>
      <c r="AA78" s="64" t="s">
        <v>44</v>
      </c>
    </row>
    <row r="79" spans="1:27" ht="42.75" customHeight="1" x14ac:dyDescent="0.3">
      <c r="A79" s="17" t="s">
        <v>232</v>
      </c>
      <c r="B79" s="37" t="s">
        <v>251</v>
      </c>
      <c r="C79" s="51" t="s">
        <v>252</v>
      </c>
      <c r="D79" s="51"/>
      <c r="E79" s="20"/>
      <c r="F79" s="29"/>
      <c r="G79" s="29"/>
      <c r="H79" s="34"/>
      <c r="I79" s="23"/>
      <c r="J79" s="59"/>
      <c r="K79" s="51" t="s">
        <v>253</v>
      </c>
      <c r="L79" s="59" t="s">
        <v>241</v>
      </c>
      <c r="M79" s="26">
        <f t="shared" si="1"/>
        <v>25750000</v>
      </c>
      <c r="N79" s="26">
        <f t="shared" si="2"/>
        <v>25750000</v>
      </c>
      <c r="O79" s="66">
        <v>25750000</v>
      </c>
      <c r="P79" s="60">
        <v>0</v>
      </c>
      <c r="Q79" s="60"/>
      <c r="R79" s="60"/>
      <c r="S79" s="65" t="s">
        <v>37</v>
      </c>
      <c r="T79" s="62" t="s">
        <v>38</v>
      </c>
      <c r="U79" s="62" t="s">
        <v>46</v>
      </c>
      <c r="V79" s="37" t="s">
        <v>236</v>
      </c>
      <c r="W79" s="67" t="s">
        <v>40</v>
      </c>
      <c r="X79" s="62" t="s">
        <v>41</v>
      </c>
      <c r="Y79" s="62" t="s">
        <v>42</v>
      </c>
      <c r="Z79" s="62" t="s">
        <v>254</v>
      </c>
      <c r="AA79" s="64" t="s">
        <v>44</v>
      </c>
    </row>
    <row r="80" spans="1:27" ht="71.25" customHeight="1" x14ac:dyDescent="0.3">
      <c r="A80" s="17" t="s">
        <v>232</v>
      </c>
      <c r="B80" s="37" t="s">
        <v>255</v>
      </c>
      <c r="C80" s="51" t="s">
        <v>256</v>
      </c>
      <c r="D80" s="51"/>
      <c r="E80" s="20">
        <v>43868</v>
      </c>
      <c r="F80" s="29" t="s">
        <v>89</v>
      </c>
      <c r="G80" s="34" t="s">
        <v>82</v>
      </c>
      <c r="H80" s="34">
        <v>6</v>
      </c>
      <c r="I80" s="23" t="s">
        <v>33</v>
      </c>
      <c r="J80" s="59" t="s">
        <v>70</v>
      </c>
      <c r="K80" s="51" t="s">
        <v>257</v>
      </c>
      <c r="L80" s="59" t="s">
        <v>241</v>
      </c>
      <c r="M80" s="26">
        <f t="shared" si="1"/>
        <v>175535000</v>
      </c>
      <c r="N80" s="26">
        <f t="shared" si="2"/>
        <v>175535000</v>
      </c>
      <c r="O80" s="60">
        <f>141535000+34000000</f>
        <v>175535000</v>
      </c>
      <c r="P80" s="60"/>
      <c r="Q80" s="60"/>
      <c r="R80" s="60"/>
      <c r="S80" s="65" t="s">
        <v>37</v>
      </c>
      <c r="T80" s="62" t="s">
        <v>38</v>
      </c>
      <c r="U80" s="62" t="s">
        <v>72</v>
      </c>
      <c r="V80" s="37" t="s">
        <v>236</v>
      </c>
      <c r="W80" s="51" t="s">
        <v>40</v>
      </c>
      <c r="X80" s="62" t="s">
        <v>41</v>
      </c>
      <c r="Y80" s="62" t="s">
        <v>42</v>
      </c>
      <c r="Z80" s="62" t="s">
        <v>258</v>
      </c>
      <c r="AA80" s="64" t="s">
        <v>44</v>
      </c>
    </row>
    <row r="81" spans="1:27" ht="57" customHeight="1" x14ac:dyDescent="0.3">
      <c r="A81" s="17" t="s">
        <v>232</v>
      </c>
      <c r="B81" s="37" t="s">
        <v>259</v>
      </c>
      <c r="C81" s="51" t="s">
        <v>260</v>
      </c>
      <c r="D81" s="51"/>
      <c r="E81" s="20"/>
      <c r="F81" s="37"/>
      <c r="G81" s="34"/>
      <c r="H81" s="34"/>
      <c r="I81" s="23"/>
      <c r="J81" s="59"/>
      <c r="K81" s="51" t="s">
        <v>257</v>
      </c>
      <c r="L81" s="59" t="s">
        <v>241</v>
      </c>
      <c r="M81" s="26">
        <f t="shared" ref="M81:M164" si="3">+N81+Q81+R81</f>
        <v>5000000</v>
      </c>
      <c r="N81" s="26">
        <f t="shared" si="2"/>
        <v>5000000</v>
      </c>
      <c r="O81" s="60">
        <v>5000000</v>
      </c>
      <c r="P81" s="60"/>
      <c r="Q81" s="60"/>
      <c r="R81" s="60"/>
      <c r="S81" s="65"/>
      <c r="T81" s="62"/>
      <c r="U81" s="62" t="s">
        <v>46</v>
      </c>
      <c r="V81" s="37" t="s">
        <v>236</v>
      </c>
      <c r="W81" s="63" t="s">
        <v>40</v>
      </c>
      <c r="X81" s="62" t="s">
        <v>41</v>
      </c>
      <c r="Y81" s="62" t="s">
        <v>42</v>
      </c>
      <c r="Z81" s="62" t="s">
        <v>261</v>
      </c>
      <c r="AA81" s="64" t="s">
        <v>44</v>
      </c>
    </row>
    <row r="82" spans="1:27" ht="57" customHeight="1" x14ac:dyDescent="0.25">
      <c r="A82" s="17" t="s">
        <v>232</v>
      </c>
      <c r="B82" s="37" t="s">
        <v>259</v>
      </c>
      <c r="C82" s="51" t="s">
        <v>262</v>
      </c>
      <c r="D82" s="51"/>
      <c r="E82" s="20">
        <v>44071</v>
      </c>
      <c r="F82" s="21" t="s">
        <v>115</v>
      </c>
      <c r="G82" s="34" t="s">
        <v>160</v>
      </c>
      <c r="H82" s="34">
        <v>1</v>
      </c>
      <c r="I82" s="23" t="s">
        <v>33</v>
      </c>
      <c r="J82" s="59" t="s">
        <v>34</v>
      </c>
      <c r="K82" s="51" t="s">
        <v>257</v>
      </c>
      <c r="L82" s="59" t="s">
        <v>241</v>
      </c>
      <c r="M82" s="26">
        <f t="shared" si="3"/>
        <v>2850000</v>
      </c>
      <c r="N82" s="26">
        <f t="shared" si="2"/>
        <v>2850000</v>
      </c>
      <c r="O82" s="60">
        <v>2850000</v>
      </c>
      <c r="P82" s="60"/>
      <c r="Q82" s="60"/>
      <c r="R82" s="60"/>
      <c r="S82" s="68" t="s">
        <v>37</v>
      </c>
      <c r="T82" s="61" t="s">
        <v>38</v>
      </c>
      <c r="U82" s="62"/>
      <c r="V82" s="37" t="s">
        <v>236</v>
      </c>
      <c r="W82" s="63" t="s">
        <v>40</v>
      </c>
      <c r="X82" s="62" t="s">
        <v>41</v>
      </c>
      <c r="Y82" s="62" t="s">
        <v>42</v>
      </c>
      <c r="Z82" s="62" t="s">
        <v>263</v>
      </c>
      <c r="AA82" s="64" t="s">
        <v>44</v>
      </c>
    </row>
    <row r="83" spans="1:27" ht="57" customHeight="1" x14ac:dyDescent="0.25">
      <c r="A83" s="17" t="s">
        <v>232</v>
      </c>
      <c r="B83" s="37" t="s">
        <v>259</v>
      </c>
      <c r="C83" s="51" t="s">
        <v>264</v>
      </c>
      <c r="D83" s="51"/>
      <c r="E83" s="20">
        <v>44134</v>
      </c>
      <c r="F83" s="37" t="s">
        <v>194</v>
      </c>
      <c r="G83" s="34" t="s">
        <v>217</v>
      </c>
      <c r="H83" s="34">
        <v>1</v>
      </c>
      <c r="I83" s="23" t="s">
        <v>33</v>
      </c>
      <c r="J83" s="59" t="s">
        <v>34</v>
      </c>
      <c r="K83" s="51" t="s">
        <v>257</v>
      </c>
      <c r="L83" s="59" t="s">
        <v>241</v>
      </c>
      <c r="M83" s="26">
        <f t="shared" si="3"/>
        <v>3500000</v>
      </c>
      <c r="N83" s="26">
        <f t="shared" si="2"/>
        <v>3500000</v>
      </c>
      <c r="O83" s="60">
        <v>3500000</v>
      </c>
      <c r="P83" s="60"/>
      <c r="Q83" s="60"/>
      <c r="R83" s="60"/>
      <c r="S83" s="68" t="s">
        <v>37</v>
      </c>
      <c r="T83" s="61" t="s">
        <v>38</v>
      </c>
      <c r="U83" s="62"/>
      <c r="V83" s="37" t="s">
        <v>236</v>
      </c>
      <c r="W83" s="63" t="s">
        <v>40</v>
      </c>
      <c r="X83" s="62" t="s">
        <v>41</v>
      </c>
      <c r="Y83" s="62" t="s">
        <v>42</v>
      </c>
      <c r="Z83" s="62" t="s">
        <v>265</v>
      </c>
      <c r="AA83" s="64" t="s">
        <v>44</v>
      </c>
    </row>
    <row r="84" spans="1:27" ht="57" customHeight="1" x14ac:dyDescent="0.25">
      <c r="A84" s="17" t="s">
        <v>232</v>
      </c>
      <c r="B84" s="37" t="s">
        <v>259</v>
      </c>
      <c r="C84" s="51" t="s">
        <v>266</v>
      </c>
      <c r="D84" s="51"/>
      <c r="E84" s="20">
        <v>44043</v>
      </c>
      <c r="F84" s="37" t="s">
        <v>202</v>
      </c>
      <c r="G84" s="49" t="s">
        <v>115</v>
      </c>
      <c r="H84" s="34">
        <v>1</v>
      </c>
      <c r="I84" s="23" t="s">
        <v>33</v>
      </c>
      <c r="J84" s="59" t="s">
        <v>34</v>
      </c>
      <c r="K84" s="51" t="s">
        <v>257</v>
      </c>
      <c r="L84" s="59" t="s">
        <v>241</v>
      </c>
      <c r="M84" s="26">
        <f t="shared" si="3"/>
        <v>4250000</v>
      </c>
      <c r="N84" s="26">
        <f t="shared" si="2"/>
        <v>4250000</v>
      </c>
      <c r="O84" s="60">
        <v>4250000</v>
      </c>
      <c r="P84" s="60"/>
      <c r="Q84" s="60"/>
      <c r="R84" s="60"/>
      <c r="S84" s="68" t="s">
        <v>37</v>
      </c>
      <c r="T84" s="61" t="s">
        <v>38</v>
      </c>
      <c r="U84" s="62"/>
      <c r="V84" s="37" t="s">
        <v>236</v>
      </c>
      <c r="W84" s="63" t="s">
        <v>40</v>
      </c>
      <c r="X84" s="62" t="s">
        <v>41</v>
      </c>
      <c r="Y84" s="62" t="s">
        <v>42</v>
      </c>
      <c r="Z84" s="62" t="s">
        <v>267</v>
      </c>
      <c r="AA84" s="64" t="s">
        <v>44</v>
      </c>
    </row>
    <row r="85" spans="1:27" ht="57" customHeight="1" x14ac:dyDescent="0.25">
      <c r="A85" s="17" t="s">
        <v>232</v>
      </c>
      <c r="B85" s="37" t="s">
        <v>259</v>
      </c>
      <c r="C85" s="51" t="s">
        <v>268</v>
      </c>
      <c r="D85" s="51"/>
      <c r="E85" s="20">
        <v>43921</v>
      </c>
      <c r="F85" s="29" t="s">
        <v>89</v>
      </c>
      <c r="G85" s="29" t="s">
        <v>89</v>
      </c>
      <c r="H85" s="34" t="s">
        <v>269</v>
      </c>
      <c r="I85" s="23" t="s">
        <v>33</v>
      </c>
      <c r="J85" s="59" t="s">
        <v>34</v>
      </c>
      <c r="K85" s="51" t="s">
        <v>257</v>
      </c>
      <c r="L85" s="59" t="s">
        <v>241</v>
      </c>
      <c r="M85" s="26">
        <f t="shared" si="3"/>
        <v>8000000</v>
      </c>
      <c r="N85" s="26">
        <f t="shared" si="2"/>
        <v>8000000</v>
      </c>
      <c r="O85" s="60">
        <v>8000000</v>
      </c>
      <c r="P85" s="60"/>
      <c r="Q85" s="60"/>
      <c r="R85" s="60"/>
      <c r="S85" s="68" t="s">
        <v>37</v>
      </c>
      <c r="T85" s="61" t="s">
        <v>38</v>
      </c>
      <c r="U85" s="62"/>
      <c r="V85" s="37" t="s">
        <v>236</v>
      </c>
      <c r="W85" s="63" t="s">
        <v>40</v>
      </c>
      <c r="X85" s="62" t="s">
        <v>41</v>
      </c>
      <c r="Y85" s="62" t="s">
        <v>42</v>
      </c>
      <c r="Z85" s="62" t="s">
        <v>270</v>
      </c>
      <c r="AA85" s="64" t="s">
        <v>44</v>
      </c>
    </row>
    <row r="86" spans="1:27" ht="57" customHeight="1" x14ac:dyDescent="0.25">
      <c r="A86" s="17" t="s">
        <v>232</v>
      </c>
      <c r="B86" s="37" t="s">
        <v>271</v>
      </c>
      <c r="C86" s="51" t="s">
        <v>272</v>
      </c>
      <c r="D86" s="51"/>
      <c r="E86" s="20">
        <v>43868</v>
      </c>
      <c r="F86" s="29" t="s">
        <v>32</v>
      </c>
      <c r="G86" s="34" t="s">
        <v>202</v>
      </c>
      <c r="H86" s="69">
        <v>6</v>
      </c>
      <c r="I86" s="23" t="s">
        <v>33</v>
      </c>
      <c r="J86" s="59" t="s">
        <v>70</v>
      </c>
      <c r="K86" s="51" t="s">
        <v>273</v>
      </c>
      <c r="L86" s="59" t="s">
        <v>241</v>
      </c>
      <c r="M86" s="26">
        <f t="shared" si="3"/>
        <v>80000000</v>
      </c>
      <c r="N86" s="26">
        <f t="shared" si="2"/>
        <v>80000000</v>
      </c>
      <c r="O86" s="60">
        <f>149457409-69457409</f>
        <v>80000000</v>
      </c>
      <c r="P86" s="26">
        <v>0</v>
      </c>
      <c r="Q86" s="60"/>
      <c r="R86" s="60"/>
      <c r="S86" s="68" t="s">
        <v>37</v>
      </c>
      <c r="T86" s="61" t="s">
        <v>38</v>
      </c>
      <c r="U86" s="62" t="s">
        <v>72</v>
      </c>
      <c r="V86" s="37" t="s">
        <v>236</v>
      </c>
      <c r="W86" s="63" t="s">
        <v>40</v>
      </c>
      <c r="X86" s="62" t="s">
        <v>41</v>
      </c>
      <c r="Y86" s="62" t="s">
        <v>42</v>
      </c>
      <c r="Z86" s="62" t="s">
        <v>274</v>
      </c>
      <c r="AA86" s="64" t="s">
        <v>44</v>
      </c>
    </row>
    <row r="87" spans="1:27" ht="57" customHeight="1" x14ac:dyDescent="0.25">
      <c r="A87" s="17" t="s">
        <v>232</v>
      </c>
      <c r="B87" s="37" t="s">
        <v>271</v>
      </c>
      <c r="C87" s="51" t="s">
        <v>275</v>
      </c>
      <c r="D87" s="51"/>
      <c r="E87" s="20"/>
      <c r="F87" s="29"/>
      <c r="G87" s="34"/>
      <c r="H87" s="69"/>
      <c r="I87" s="23"/>
      <c r="J87" s="59"/>
      <c r="K87" s="51" t="s">
        <v>273</v>
      </c>
      <c r="L87" s="59" t="s">
        <v>241</v>
      </c>
      <c r="M87" s="26">
        <f>+N87+Q87+R87</f>
        <v>69457409</v>
      </c>
      <c r="N87" s="26">
        <f t="shared" si="2"/>
        <v>69457409</v>
      </c>
      <c r="O87" s="60">
        <v>69457409</v>
      </c>
      <c r="P87" s="26">
        <v>0</v>
      </c>
      <c r="Q87" s="60"/>
      <c r="R87" s="60"/>
      <c r="S87" s="68"/>
      <c r="T87" s="61"/>
      <c r="U87" s="62" t="s">
        <v>46</v>
      </c>
      <c r="V87" s="37" t="s">
        <v>236</v>
      </c>
      <c r="W87" s="63" t="s">
        <v>40</v>
      </c>
      <c r="X87" s="62" t="s">
        <v>41</v>
      </c>
      <c r="Y87" s="62" t="s">
        <v>42</v>
      </c>
      <c r="Z87" s="62" t="s">
        <v>274</v>
      </c>
      <c r="AA87" s="64" t="s">
        <v>44</v>
      </c>
    </row>
    <row r="88" spans="1:27" ht="42.75" customHeight="1" x14ac:dyDescent="0.25">
      <c r="A88" s="17" t="s">
        <v>232</v>
      </c>
      <c r="B88" s="18">
        <v>90121502</v>
      </c>
      <c r="C88" s="19" t="s">
        <v>276</v>
      </c>
      <c r="D88" s="33">
        <v>44074</v>
      </c>
      <c r="E88" s="20">
        <v>44043</v>
      </c>
      <c r="F88" s="21" t="s">
        <v>115</v>
      </c>
      <c r="G88" s="21" t="s">
        <v>115</v>
      </c>
      <c r="H88" s="35">
        <v>12</v>
      </c>
      <c r="I88" s="23" t="s">
        <v>33</v>
      </c>
      <c r="J88" s="24" t="s">
        <v>49</v>
      </c>
      <c r="K88" s="24" t="s">
        <v>277</v>
      </c>
      <c r="L88" s="41" t="s">
        <v>278</v>
      </c>
      <c r="M88" s="26">
        <f t="shared" si="3"/>
        <v>1386243400</v>
      </c>
      <c r="N88" s="26">
        <f t="shared" si="2"/>
        <v>1386243400</v>
      </c>
      <c r="O88" s="26">
        <v>842797000</v>
      </c>
      <c r="P88" s="26">
        <v>543446400</v>
      </c>
      <c r="Q88" s="26"/>
      <c r="R88" s="26"/>
      <c r="S88" s="29" t="s">
        <v>279</v>
      </c>
      <c r="T88" s="29" t="s">
        <v>226</v>
      </c>
      <c r="U88" s="29" t="s">
        <v>51</v>
      </c>
      <c r="V88" s="29" t="s">
        <v>236</v>
      </c>
      <c r="W88" s="29" t="s">
        <v>40</v>
      </c>
      <c r="X88" s="29" t="s">
        <v>41</v>
      </c>
      <c r="Y88" s="29" t="s">
        <v>42</v>
      </c>
      <c r="Z88" s="30" t="s">
        <v>280</v>
      </c>
      <c r="AA88" s="39" t="s">
        <v>44</v>
      </c>
    </row>
    <row r="89" spans="1:27" ht="57" customHeight="1" x14ac:dyDescent="0.25">
      <c r="A89" s="17" t="s">
        <v>232</v>
      </c>
      <c r="B89" s="37">
        <v>90121502</v>
      </c>
      <c r="C89" s="51" t="s">
        <v>281</v>
      </c>
      <c r="D89" s="51" t="s">
        <v>159</v>
      </c>
      <c r="E89" s="20">
        <v>44012</v>
      </c>
      <c r="F89" s="21" t="s">
        <v>115</v>
      </c>
      <c r="G89" s="49" t="s">
        <v>115</v>
      </c>
      <c r="H89" s="69">
        <v>16.600000000000001</v>
      </c>
      <c r="I89" s="23" t="s">
        <v>33</v>
      </c>
      <c r="J89" s="19" t="s">
        <v>173</v>
      </c>
      <c r="K89" s="51" t="s">
        <v>277</v>
      </c>
      <c r="L89" s="59" t="s">
        <v>278</v>
      </c>
      <c r="M89" s="26">
        <f t="shared" si="3"/>
        <v>2419485222</v>
      </c>
      <c r="N89" s="26">
        <f t="shared" si="2"/>
        <v>281508648</v>
      </c>
      <c r="O89" s="60">
        <f>231902000-53846528</f>
        <v>178055472</v>
      </c>
      <c r="P89" s="60">
        <f>129999970-26546794</f>
        <v>103453176</v>
      </c>
      <c r="Q89" s="60">
        <v>1739723436</v>
      </c>
      <c r="R89" s="60">
        <v>398253138</v>
      </c>
      <c r="S89" s="29" t="s">
        <v>178</v>
      </c>
      <c r="T89" s="62" t="s">
        <v>174</v>
      </c>
      <c r="U89" s="62"/>
      <c r="V89" s="37" t="s">
        <v>236</v>
      </c>
      <c r="W89" s="63" t="s">
        <v>40</v>
      </c>
      <c r="X89" s="62" t="s">
        <v>41</v>
      </c>
      <c r="Y89" s="62" t="s">
        <v>42</v>
      </c>
      <c r="Z89" s="62" t="s">
        <v>280</v>
      </c>
      <c r="AA89" s="64" t="s">
        <v>44</v>
      </c>
    </row>
    <row r="90" spans="1:27" ht="57" customHeight="1" x14ac:dyDescent="0.25">
      <c r="A90" s="17" t="s">
        <v>232</v>
      </c>
      <c r="B90" s="37">
        <v>90121502</v>
      </c>
      <c r="C90" s="51" t="s">
        <v>282</v>
      </c>
      <c r="D90" s="51"/>
      <c r="E90" s="20"/>
      <c r="F90" s="21"/>
      <c r="G90" s="49"/>
      <c r="H90" s="69"/>
      <c r="I90" s="23"/>
      <c r="J90" s="19"/>
      <c r="K90" s="51" t="s">
        <v>277</v>
      </c>
      <c r="L90" s="59" t="s">
        <v>278</v>
      </c>
      <c r="M90" s="26">
        <f>+N90+Q90+R90</f>
        <v>80393322</v>
      </c>
      <c r="N90" s="26">
        <f t="shared" si="2"/>
        <v>80393322</v>
      </c>
      <c r="O90" s="60">
        <v>53846528</v>
      </c>
      <c r="P90" s="60">
        <v>26546794</v>
      </c>
      <c r="Q90" s="60"/>
      <c r="R90" s="60"/>
      <c r="S90" s="29"/>
      <c r="T90" s="62"/>
      <c r="U90" s="62" t="s">
        <v>46</v>
      </c>
      <c r="V90" s="37" t="s">
        <v>236</v>
      </c>
      <c r="W90" s="63" t="s">
        <v>40</v>
      </c>
      <c r="X90" s="62" t="s">
        <v>41</v>
      </c>
      <c r="Y90" s="62" t="s">
        <v>42</v>
      </c>
      <c r="Z90" s="62" t="s">
        <v>280</v>
      </c>
      <c r="AA90" s="64" t="s">
        <v>44</v>
      </c>
    </row>
    <row r="91" spans="1:27" ht="42.75" customHeight="1" x14ac:dyDescent="0.25">
      <c r="A91" s="17" t="s">
        <v>232</v>
      </c>
      <c r="B91" s="37">
        <v>43231505</v>
      </c>
      <c r="C91" s="51" t="s">
        <v>283</v>
      </c>
      <c r="D91" s="51"/>
      <c r="E91" s="20">
        <v>43868</v>
      </c>
      <c r="F91" s="34" t="s">
        <v>96</v>
      </c>
      <c r="G91" s="34" t="s">
        <v>96</v>
      </c>
      <c r="H91" s="69">
        <v>11</v>
      </c>
      <c r="I91" s="23" t="s">
        <v>33</v>
      </c>
      <c r="J91" s="59" t="s">
        <v>34</v>
      </c>
      <c r="K91" s="51" t="s">
        <v>284</v>
      </c>
      <c r="L91" s="59" t="s">
        <v>285</v>
      </c>
      <c r="M91" s="26">
        <f t="shared" si="3"/>
        <v>96339068</v>
      </c>
      <c r="N91" s="26">
        <f t="shared" si="2"/>
        <v>96339068</v>
      </c>
      <c r="O91" s="108">
        <f>106472000- 10132932</f>
        <v>96339068</v>
      </c>
      <c r="P91" s="60"/>
      <c r="Q91" s="60"/>
      <c r="R91" s="60"/>
      <c r="S91" s="68" t="s">
        <v>37</v>
      </c>
      <c r="T91" s="61" t="s">
        <v>38</v>
      </c>
      <c r="U91" s="62" t="s">
        <v>98</v>
      </c>
      <c r="V91" s="37" t="s">
        <v>236</v>
      </c>
      <c r="W91" s="63" t="s">
        <v>40</v>
      </c>
      <c r="X91" s="62" t="s">
        <v>41</v>
      </c>
      <c r="Y91" s="62" t="s">
        <v>42</v>
      </c>
      <c r="Z91" s="62" t="s">
        <v>280</v>
      </c>
      <c r="AA91" s="64" t="s">
        <v>44</v>
      </c>
    </row>
    <row r="92" spans="1:27" ht="73" customHeight="1" x14ac:dyDescent="0.25">
      <c r="A92" s="17" t="s">
        <v>232</v>
      </c>
      <c r="B92" s="37" t="s">
        <v>286</v>
      </c>
      <c r="C92" s="51" t="s">
        <v>287</v>
      </c>
      <c r="D92" s="51"/>
      <c r="E92" s="20">
        <v>43982</v>
      </c>
      <c r="F92" s="37" t="s">
        <v>53</v>
      </c>
      <c r="G92" s="34" t="s">
        <v>32</v>
      </c>
      <c r="H92" s="69">
        <v>1</v>
      </c>
      <c r="I92" s="23" t="s">
        <v>33</v>
      </c>
      <c r="J92" s="59" t="s">
        <v>173</v>
      </c>
      <c r="K92" s="51" t="s">
        <v>247</v>
      </c>
      <c r="L92" s="59" t="s">
        <v>288</v>
      </c>
      <c r="M92" s="26">
        <f>+N92+Q92+R92</f>
        <v>636698161</v>
      </c>
      <c r="N92" s="26">
        <f t="shared" si="2"/>
        <v>636698161</v>
      </c>
      <c r="O92" s="60">
        <f>224424480+137543820</f>
        <v>361968300</v>
      </c>
      <c r="P92" s="60">
        <f>274729861</f>
        <v>274729861</v>
      </c>
      <c r="Q92" s="60"/>
      <c r="R92" s="60"/>
      <c r="S92" s="68" t="s">
        <v>37</v>
      </c>
      <c r="T92" s="61" t="s">
        <v>38</v>
      </c>
      <c r="U92" s="62" t="s">
        <v>46</v>
      </c>
      <c r="V92" s="37" t="s">
        <v>236</v>
      </c>
      <c r="W92" s="63" t="s">
        <v>40</v>
      </c>
      <c r="X92" s="62" t="s">
        <v>41</v>
      </c>
      <c r="Y92" s="62" t="s">
        <v>42</v>
      </c>
      <c r="Z92" s="62" t="s">
        <v>280</v>
      </c>
      <c r="AA92" s="64" t="s">
        <v>44</v>
      </c>
    </row>
    <row r="93" spans="1:27" ht="99.75" customHeight="1" x14ac:dyDescent="0.25">
      <c r="A93" s="17" t="s">
        <v>232</v>
      </c>
      <c r="B93" s="37">
        <v>80111500</v>
      </c>
      <c r="C93" s="51" t="s">
        <v>289</v>
      </c>
      <c r="D93" s="51"/>
      <c r="E93" s="20">
        <v>43861</v>
      </c>
      <c r="F93" s="21" t="s">
        <v>96</v>
      </c>
      <c r="G93" s="21" t="s">
        <v>96</v>
      </c>
      <c r="H93" s="69">
        <v>10</v>
      </c>
      <c r="I93" s="23" t="s">
        <v>33</v>
      </c>
      <c r="J93" s="59" t="s">
        <v>34</v>
      </c>
      <c r="K93" s="51" t="s">
        <v>290</v>
      </c>
      <c r="L93" s="59" t="s">
        <v>36</v>
      </c>
      <c r="M93" s="26">
        <f>+N93+P91+R93</f>
        <v>107917333</v>
      </c>
      <c r="N93" s="26">
        <f t="shared" si="2"/>
        <v>107917333</v>
      </c>
      <c r="O93" s="60">
        <f>114400000-6482667</f>
        <v>107917333</v>
      </c>
      <c r="P93" s="60"/>
      <c r="Q93" s="38"/>
      <c r="R93" s="60"/>
      <c r="S93" s="68" t="s">
        <v>37</v>
      </c>
      <c r="T93" s="61" t="s">
        <v>38</v>
      </c>
      <c r="U93" s="62" t="s">
        <v>98</v>
      </c>
      <c r="V93" s="37" t="s">
        <v>236</v>
      </c>
      <c r="W93" s="63" t="s">
        <v>40</v>
      </c>
      <c r="X93" s="62" t="s">
        <v>41</v>
      </c>
      <c r="Y93" s="62" t="s">
        <v>42</v>
      </c>
      <c r="Z93" s="62" t="s">
        <v>291</v>
      </c>
      <c r="AA93" s="64" t="s">
        <v>44</v>
      </c>
    </row>
    <row r="94" spans="1:27" ht="99.75" customHeight="1" x14ac:dyDescent="0.25">
      <c r="A94" s="17" t="s">
        <v>232</v>
      </c>
      <c r="B94" s="37">
        <v>80111501</v>
      </c>
      <c r="C94" s="51" t="s">
        <v>292</v>
      </c>
      <c r="D94" s="51"/>
      <c r="E94" s="20">
        <v>43862</v>
      </c>
      <c r="F94" s="21" t="s">
        <v>96</v>
      </c>
      <c r="G94" s="21" t="s">
        <v>96</v>
      </c>
      <c r="H94" s="69">
        <v>11</v>
      </c>
      <c r="I94" s="23" t="s">
        <v>33</v>
      </c>
      <c r="J94" s="59" t="s">
        <v>34</v>
      </c>
      <c r="K94" s="51" t="s">
        <v>290</v>
      </c>
      <c r="L94" s="59" t="s">
        <v>109</v>
      </c>
      <c r="M94" s="26">
        <f>+N94+P92+R94</f>
        <v>281212528</v>
      </c>
      <c r="N94" s="26">
        <f t="shared" si="2"/>
        <v>6482667</v>
      </c>
      <c r="O94" s="60">
        <f>114400000-107917333</f>
        <v>6482667</v>
      </c>
      <c r="P94" s="60"/>
      <c r="Q94" s="38"/>
      <c r="R94" s="60"/>
      <c r="S94" s="68" t="s">
        <v>37</v>
      </c>
      <c r="T94" s="61" t="s">
        <v>38</v>
      </c>
      <c r="U94" s="37" t="s">
        <v>46</v>
      </c>
      <c r="V94" s="37" t="s">
        <v>236</v>
      </c>
      <c r="W94" s="63" t="s">
        <v>40</v>
      </c>
      <c r="X94" s="62" t="s">
        <v>41</v>
      </c>
      <c r="Y94" s="62" t="s">
        <v>42</v>
      </c>
      <c r="Z94" s="62" t="s">
        <v>293</v>
      </c>
      <c r="AA94" s="64" t="s">
        <v>44</v>
      </c>
    </row>
    <row r="95" spans="1:27" ht="42.75" customHeight="1" x14ac:dyDescent="0.25">
      <c r="A95" s="17" t="s">
        <v>294</v>
      </c>
      <c r="B95" s="18">
        <v>43233201</v>
      </c>
      <c r="C95" s="19" t="s">
        <v>295</v>
      </c>
      <c r="D95" s="19"/>
      <c r="E95" s="20">
        <v>43921</v>
      </c>
      <c r="F95" s="29" t="s">
        <v>82</v>
      </c>
      <c r="G95" s="29" t="s">
        <v>53</v>
      </c>
      <c r="H95" s="69">
        <v>7</v>
      </c>
      <c r="I95" s="70" t="s">
        <v>33</v>
      </c>
      <c r="J95" s="24" t="s">
        <v>230</v>
      </c>
      <c r="K95" s="24" t="s">
        <v>296</v>
      </c>
      <c r="L95" s="41" t="s">
        <v>297</v>
      </c>
      <c r="M95" s="26">
        <f t="shared" si="3"/>
        <v>1378000</v>
      </c>
      <c r="N95" s="26">
        <f t="shared" si="2"/>
        <v>1378000</v>
      </c>
      <c r="O95" s="26">
        <f>4217500+353360-3192860</f>
        <v>1378000</v>
      </c>
      <c r="P95" s="26">
        <v>0</v>
      </c>
      <c r="Q95" s="26"/>
      <c r="R95" s="26"/>
      <c r="S95" s="29" t="s">
        <v>37</v>
      </c>
      <c r="T95" s="29" t="s">
        <v>38</v>
      </c>
      <c r="U95" s="29" t="s">
        <v>98</v>
      </c>
      <c r="V95" s="29" t="s">
        <v>298</v>
      </c>
      <c r="W95" s="29" t="s">
        <v>170</v>
      </c>
      <c r="X95" s="29" t="s">
        <v>41</v>
      </c>
      <c r="Y95" s="29" t="s">
        <v>42</v>
      </c>
      <c r="Z95" s="30" t="s">
        <v>171</v>
      </c>
      <c r="AA95" s="71" t="s">
        <v>44</v>
      </c>
    </row>
    <row r="96" spans="1:27" ht="42.75" customHeight="1" x14ac:dyDescent="0.25">
      <c r="A96" s="17" t="s">
        <v>294</v>
      </c>
      <c r="B96" s="18">
        <v>43233202</v>
      </c>
      <c r="C96" s="19" t="s">
        <v>295</v>
      </c>
      <c r="D96" s="19"/>
      <c r="E96" s="20">
        <v>43922</v>
      </c>
      <c r="F96" s="29" t="s">
        <v>82</v>
      </c>
      <c r="G96" s="29" t="s">
        <v>53</v>
      </c>
      <c r="H96" s="69">
        <v>8</v>
      </c>
      <c r="I96" s="70" t="s">
        <v>33</v>
      </c>
      <c r="J96" s="24" t="s">
        <v>230</v>
      </c>
      <c r="K96" s="24" t="s">
        <v>296</v>
      </c>
      <c r="L96" s="41" t="s">
        <v>299</v>
      </c>
      <c r="M96" s="26">
        <f>+N96+Q96+R96</f>
        <v>3192861</v>
      </c>
      <c r="N96" s="26">
        <f t="shared" si="2"/>
        <v>3192861</v>
      </c>
      <c r="O96" s="26">
        <f>4217500+353360-1378000</f>
        <v>3192860</v>
      </c>
      <c r="P96" s="26">
        <v>1</v>
      </c>
      <c r="Q96" s="26"/>
      <c r="R96" s="26"/>
      <c r="S96" s="29" t="s">
        <v>37</v>
      </c>
      <c r="T96" s="29" t="s">
        <v>38</v>
      </c>
      <c r="U96" s="29" t="s">
        <v>46</v>
      </c>
      <c r="V96" s="29"/>
      <c r="W96" s="29"/>
      <c r="X96" s="29"/>
      <c r="Y96" s="29"/>
      <c r="Z96" s="30"/>
      <c r="AA96" s="71"/>
    </row>
    <row r="97" spans="1:27" ht="71.25" customHeight="1" x14ac:dyDescent="0.25">
      <c r="A97" s="17" t="s">
        <v>294</v>
      </c>
      <c r="B97" s="29">
        <v>80141628</v>
      </c>
      <c r="C97" s="109" t="s">
        <v>300</v>
      </c>
      <c r="D97" s="109"/>
      <c r="E97" s="20">
        <v>43830</v>
      </c>
      <c r="F97" s="29" t="s">
        <v>150</v>
      </c>
      <c r="G97" s="29" t="s">
        <v>150</v>
      </c>
      <c r="H97" s="110">
        <v>144</v>
      </c>
      <c r="I97" s="23" t="s">
        <v>33</v>
      </c>
      <c r="J97" s="24" t="s">
        <v>75</v>
      </c>
      <c r="K97" s="24" t="s">
        <v>301</v>
      </c>
      <c r="L97" s="111" t="s">
        <v>302</v>
      </c>
      <c r="M97" s="26">
        <f t="shared" si="3"/>
        <v>0</v>
      </c>
      <c r="N97" s="26">
        <f t="shared" si="2"/>
        <v>0</v>
      </c>
      <c r="O97" s="27">
        <v>0</v>
      </c>
      <c r="P97" s="26">
        <v>0</v>
      </c>
      <c r="Q97" s="26"/>
      <c r="R97" s="26"/>
      <c r="S97" s="29" t="s">
        <v>37</v>
      </c>
      <c r="T97" s="29" t="s">
        <v>38</v>
      </c>
      <c r="U97" s="29" t="s">
        <v>51</v>
      </c>
      <c r="V97" s="29" t="s">
        <v>298</v>
      </c>
      <c r="W97" s="29" t="s">
        <v>170</v>
      </c>
      <c r="X97" s="29" t="s">
        <v>41</v>
      </c>
      <c r="Y97" s="29" t="s">
        <v>42</v>
      </c>
      <c r="Z97" s="30" t="s">
        <v>171</v>
      </c>
      <c r="AA97" s="71" t="s">
        <v>44</v>
      </c>
    </row>
    <row r="98" spans="1:27" ht="99.75" customHeight="1" x14ac:dyDescent="0.25">
      <c r="A98" s="17" t="s">
        <v>294</v>
      </c>
      <c r="B98" s="18">
        <v>80141628</v>
      </c>
      <c r="C98" s="19" t="s">
        <v>303</v>
      </c>
      <c r="D98" s="33">
        <v>44196</v>
      </c>
      <c r="E98" s="20">
        <v>44106</v>
      </c>
      <c r="F98" s="21" t="s">
        <v>217</v>
      </c>
      <c r="G98" s="21" t="s">
        <v>217</v>
      </c>
      <c r="H98" s="35">
        <v>36</v>
      </c>
      <c r="I98" s="23" t="s">
        <v>33</v>
      </c>
      <c r="J98" s="24" t="s">
        <v>49</v>
      </c>
      <c r="K98" s="24" t="s">
        <v>304</v>
      </c>
      <c r="L98" s="41" t="s">
        <v>36</v>
      </c>
      <c r="M98" s="26">
        <f t="shared" si="3"/>
        <v>489053305</v>
      </c>
      <c r="N98" s="26">
        <f t="shared" si="2"/>
        <v>245282767</v>
      </c>
      <c r="O98" s="26">
        <f>255749105-10466338</f>
        <v>245282767</v>
      </c>
      <c r="P98" s="26">
        <v>0</v>
      </c>
      <c r="Q98" s="26">
        <v>243770538</v>
      </c>
      <c r="R98" s="26"/>
      <c r="S98" s="29" t="s">
        <v>178</v>
      </c>
      <c r="T98" s="29" t="s">
        <v>174</v>
      </c>
      <c r="U98" s="29" t="s">
        <v>51</v>
      </c>
      <c r="V98" s="29" t="s">
        <v>298</v>
      </c>
      <c r="W98" s="29" t="s">
        <v>170</v>
      </c>
      <c r="X98" s="29" t="s">
        <v>41</v>
      </c>
      <c r="Y98" s="29" t="s">
        <v>42</v>
      </c>
      <c r="Z98" s="30" t="s">
        <v>171</v>
      </c>
      <c r="AA98" s="39" t="s">
        <v>44</v>
      </c>
    </row>
    <row r="99" spans="1:27" ht="99.75" customHeight="1" x14ac:dyDescent="0.25">
      <c r="A99" s="17" t="s">
        <v>294</v>
      </c>
      <c r="B99" s="18">
        <v>80141629</v>
      </c>
      <c r="C99" s="19" t="s">
        <v>305</v>
      </c>
      <c r="D99" s="33"/>
      <c r="E99" s="20"/>
      <c r="F99" s="21"/>
      <c r="G99" s="21"/>
      <c r="H99" s="35"/>
      <c r="I99" s="23"/>
      <c r="J99" s="24"/>
      <c r="K99" s="24" t="s">
        <v>304</v>
      </c>
      <c r="L99" s="41" t="s">
        <v>109</v>
      </c>
      <c r="M99" s="26">
        <f>+N99+Q99+R99</f>
        <v>1970452</v>
      </c>
      <c r="N99" s="26">
        <f t="shared" si="2"/>
        <v>1970452</v>
      </c>
      <c r="O99" s="26">
        <f>10466338-8495886</f>
        <v>1970452</v>
      </c>
      <c r="P99" s="26">
        <v>0</v>
      </c>
      <c r="Q99" s="26"/>
      <c r="R99" s="26"/>
      <c r="S99" s="29"/>
      <c r="T99" s="29"/>
      <c r="U99" s="29" t="s">
        <v>51</v>
      </c>
      <c r="V99" s="29" t="s">
        <v>298</v>
      </c>
      <c r="W99" s="29" t="s">
        <v>170</v>
      </c>
      <c r="X99" s="29" t="s">
        <v>41</v>
      </c>
      <c r="Y99" s="29" t="s">
        <v>42</v>
      </c>
      <c r="Z99" s="30" t="s">
        <v>184</v>
      </c>
      <c r="AA99" s="39" t="s">
        <v>44</v>
      </c>
    </row>
    <row r="100" spans="1:27" ht="128.25" customHeight="1" x14ac:dyDescent="0.25">
      <c r="A100" s="17" t="s">
        <v>294</v>
      </c>
      <c r="B100" s="18" t="s">
        <v>306</v>
      </c>
      <c r="C100" s="19" t="s">
        <v>307</v>
      </c>
      <c r="D100" s="19"/>
      <c r="E100" s="20"/>
      <c r="F100" s="21"/>
      <c r="G100" s="21"/>
      <c r="H100" s="22">
        <v>33</v>
      </c>
      <c r="I100" s="23" t="s">
        <v>33</v>
      </c>
      <c r="J100" s="19" t="s">
        <v>308</v>
      </c>
      <c r="K100" s="29" t="s">
        <v>309</v>
      </c>
      <c r="L100" s="24" t="s">
        <v>36</v>
      </c>
      <c r="M100" s="26">
        <f t="shared" si="3"/>
        <v>14536796</v>
      </c>
      <c r="N100" s="26">
        <f t="shared" si="2"/>
        <v>5398272</v>
      </c>
      <c r="O100" s="26">
        <v>749760</v>
      </c>
      <c r="P100" s="26">
        <v>4648512</v>
      </c>
      <c r="Q100" s="26">
        <v>5667840</v>
      </c>
      <c r="R100" s="26">
        <v>3470684</v>
      </c>
      <c r="S100" s="29" t="s">
        <v>178</v>
      </c>
      <c r="T100" s="29" t="s">
        <v>174</v>
      </c>
      <c r="U100" s="29"/>
      <c r="V100" s="29" t="s">
        <v>310</v>
      </c>
      <c r="W100" s="29" t="s">
        <v>170</v>
      </c>
      <c r="X100" s="29" t="s">
        <v>41</v>
      </c>
      <c r="Y100" s="29" t="s">
        <v>42</v>
      </c>
      <c r="Z100" s="30" t="s">
        <v>171</v>
      </c>
      <c r="AA100" s="39" t="s">
        <v>44</v>
      </c>
    </row>
    <row r="101" spans="1:27" ht="99.75" customHeight="1" x14ac:dyDescent="0.25">
      <c r="A101" s="17" t="s">
        <v>311</v>
      </c>
      <c r="B101" s="18">
        <v>81131504</v>
      </c>
      <c r="C101" s="19" t="s">
        <v>312</v>
      </c>
      <c r="D101" s="19"/>
      <c r="E101" s="20">
        <v>43921</v>
      </c>
      <c r="F101" s="21" t="s">
        <v>53</v>
      </c>
      <c r="G101" s="73" t="s">
        <v>53</v>
      </c>
      <c r="H101" s="22">
        <v>5</v>
      </c>
      <c r="I101" s="23" t="s">
        <v>33</v>
      </c>
      <c r="J101" s="19" t="s">
        <v>313</v>
      </c>
      <c r="K101" s="29" t="s">
        <v>314</v>
      </c>
      <c r="L101" s="24" t="s">
        <v>36</v>
      </c>
      <c r="M101" s="26">
        <f t="shared" si="3"/>
        <v>115806040</v>
      </c>
      <c r="N101" s="26">
        <f t="shared" si="2"/>
        <v>115806040</v>
      </c>
      <c r="O101" s="26">
        <v>115806040</v>
      </c>
      <c r="P101" s="26">
        <v>0</v>
      </c>
      <c r="Q101" s="26"/>
      <c r="R101" s="26"/>
      <c r="S101" s="29" t="s">
        <v>37</v>
      </c>
      <c r="T101" s="29" t="s">
        <v>38</v>
      </c>
      <c r="U101" s="29" t="s">
        <v>72</v>
      </c>
      <c r="V101" s="29" t="s">
        <v>315</v>
      </c>
      <c r="W101" s="29" t="s">
        <v>170</v>
      </c>
      <c r="X101" s="29" t="s">
        <v>41</v>
      </c>
      <c r="Y101" s="29" t="s">
        <v>42</v>
      </c>
      <c r="Z101" s="30" t="s">
        <v>43</v>
      </c>
      <c r="AA101" s="39" t="s">
        <v>44</v>
      </c>
    </row>
    <row r="102" spans="1:27" ht="71.25" customHeight="1" x14ac:dyDescent="0.25">
      <c r="A102" s="17" t="s">
        <v>311</v>
      </c>
      <c r="B102" s="18" t="s">
        <v>316</v>
      </c>
      <c r="C102" s="19" t="s">
        <v>317</v>
      </c>
      <c r="D102" s="19"/>
      <c r="E102" s="20">
        <v>43889</v>
      </c>
      <c r="F102" s="29" t="s">
        <v>89</v>
      </c>
      <c r="G102" s="34" t="s">
        <v>53</v>
      </c>
      <c r="H102" s="35">
        <v>8</v>
      </c>
      <c r="I102" s="29" t="s">
        <v>33</v>
      </c>
      <c r="J102" s="19" t="s">
        <v>144</v>
      </c>
      <c r="K102" s="29" t="s">
        <v>318</v>
      </c>
      <c r="L102" s="24" t="s">
        <v>36</v>
      </c>
      <c r="M102" s="26">
        <f t="shared" si="3"/>
        <v>14000000</v>
      </c>
      <c r="N102" s="26">
        <f t="shared" si="2"/>
        <v>14000000</v>
      </c>
      <c r="O102" s="26">
        <v>14000000</v>
      </c>
      <c r="P102" s="26">
        <v>0</v>
      </c>
      <c r="Q102" s="26"/>
      <c r="R102" s="26"/>
      <c r="S102" s="29" t="s">
        <v>37</v>
      </c>
      <c r="T102" s="29" t="s">
        <v>38</v>
      </c>
      <c r="U102" s="29" t="s">
        <v>72</v>
      </c>
      <c r="V102" s="29" t="s">
        <v>315</v>
      </c>
      <c r="W102" s="29" t="s">
        <v>170</v>
      </c>
      <c r="X102" s="29" t="s">
        <v>41</v>
      </c>
      <c r="Y102" s="29" t="s">
        <v>42</v>
      </c>
      <c r="Z102" s="30" t="s">
        <v>43</v>
      </c>
      <c r="AA102" s="39" t="s">
        <v>44</v>
      </c>
    </row>
    <row r="103" spans="1:27" ht="42.75" customHeight="1" x14ac:dyDescent="0.25">
      <c r="A103" s="17" t="s">
        <v>311</v>
      </c>
      <c r="B103" s="18">
        <v>83111507</v>
      </c>
      <c r="C103" s="19" t="s">
        <v>319</v>
      </c>
      <c r="D103" s="33">
        <v>43982</v>
      </c>
      <c r="E103" s="20">
        <v>43889</v>
      </c>
      <c r="F103" s="21" t="s">
        <v>89</v>
      </c>
      <c r="G103" s="21" t="s">
        <v>82</v>
      </c>
      <c r="H103" s="35">
        <v>12</v>
      </c>
      <c r="I103" s="23" t="s">
        <v>33</v>
      </c>
      <c r="J103" s="24" t="s">
        <v>49</v>
      </c>
      <c r="K103" s="24" t="s">
        <v>320</v>
      </c>
      <c r="L103" s="41" t="s">
        <v>36</v>
      </c>
      <c r="M103" s="26">
        <f t="shared" si="3"/>
        <v>176278662</v>
      </c>
      <c r="N103" s="26">
        <f t="shared" si="2"/>
        <v>176278662</v>
      </c>
      <c r="O103" s="26">
        <f>163869848+2740320+9668494</f>
        <v>176278662</v>
      </c>
      <c r="P103" s="26">
        <v>0</v>
      </c>
      <c r="Q103" s="26"/>
      <c r="R103" s="26"/>
      <c r="S103" s="29" t="s">
        <v>37</v>
      </c>
      <c r="T103" s="29" t="s">
        <v>38</v>
      </c>
      <c r="U103" s="29" t="s">
        <v>51</v>
      </c>
      <c r="V103" s="29" t="s">
        <v>315</v>
      </c>
      <c r="W103" s="29" t="s">
        <v>170</v>
      </c>
      <c r="X103" s="29" t="s">
        <v>41</v>
      </c>
      <c r="Y103" s="29" t="s">
        <v>42</v>
      </c>
      <c r="Z103" s="30" t="s">
        <v>43</v>
      </c>
      <c r="AA103" s="39" t="s">
        <v>44</v>
      </c>
    </row>
    <row r="104" spans="1:27" ht="42.75" customHeight="1" x14ac:dyDescent="0.25">
      <c r="A104" s="17" t="s">
        <v>311</v>
      </c>
      <c r="B104" s="18">
        <v>83111508</v>
      </c>
      <c r="C104" s="19" t="s">
        <v>321</v>
      </c>
      <c r="D104" s="33"/>
      <c r="E104" s="20">
        <v>43951</v>
      </c>
      <c r="F104" s="21" t="s">
        <v>53</v>
      </c>
      <c r="G104" s="21" t="s">
        <v>53</v>
      </c>
      <c r="H104" s="35">
        <v>11</v>
      </c>
      <c r="I104" s="23" t="s">
        <v>33</v>
      </c>
      <c r="J104" s="24" t="s">
        <v>173</v>
      </c>
      <c r="K104" s="24" t="s">
        <v>320</v>
      </c>
      <c r="L104" s="41" t="s">
        <v>109</v>
      </c>
      <c r="M104" s="26">
        <f>+N104+Q104+R104</f>
        <v>361954155</v>
      </c>
      <c r="N104" s="26">
        <f t="shared" si="2"/>
        <v>231154978</v>
      </c>
      <c r="O104" s="26">
        <f>308096511-76941533</f>
        <v>231154978</v>
      </c>
      <c r="P104" s="26"/>
      <c r="Q104" s="26">
        <f>186415885-55616708</f>
        <v>130799177</v>
      </c>
      <c r="R104" s="26"/>
      <c r="S104" s="29" t="s">
        <v>279</v>
      </c>
      <c r="T104" s="29" t="s">
        <v>174</v>
      </c>
      <c r="U104" s="29" t="s">
        <v>72</v>
      </c>
      <c r="V104" s="29" t="s">
        <v>315</v>
      </c>
      <c r="W104" s="29" t="s">
        <v>170</v>
      </c>
      <c r="X104" s="29" t="s">
        <v>41</v>
      </c>
      <c r="Y104" s="29" t="s">
        <v>42</v>
      </c>
      <c r="Z104" s="30" t="s">
        <v>112</v>
      </c>
      <c r="AA104" s="39" t="s">
        <v>44</v>
      </c>
    </row>
    <row r="105" spans="1:27" ht="42.75" customHeight="1" x14ac:dyDescent="0.25">
      <c r="A105" s="17" t="s">
        <v>311</v>
      </c>
      <c r="B105" s="18">
        <v>83111509</v>
      </c>
      <c r="C105" s="50" t="s">
        <v>322</v>
      </c>
      <c r="D105" s="112"/>
      <c r="E105" s="113"/>
      <c r="F105" s="114"/>
      <c r="G105" s="114"/>
      <c r="H105" s="35"/>
      <c r="I105" s="115"/>
      <c r="J105" s="18"/>
      <c r="K105" s="18" t="s">
        <v>320</v>
      </c>
      <c r="L105" s="41" t="s">
        <v>91</v>
      </c>
      <c r="M105" s="26">
        <f>+N105+Q105+R105</f>
        <v>132558241</v>
      </c>
      <c r="N105" s="26">
        <f t="shared" si="2"/>
        <v>76941533</v>
      </c>
      <c r="O105" s="26">
        <f>308096512-231154979</f>
        <v>76941533</v>
      </c>
      <c r="P105" s="26"/>
      <c r="Q105" s="26">
        <f>186415885-130799177</f>
        <v>55616708</v>
      </c>
      <c r="R105" s="26"/>
      <c r="S105" s="29" t="s">
        <v>37</v>
      </c>
      <c r="T105" s="29" t="s">
        <v>38</v>
      </c>
      <c r="U105" s="29" t="s">
        <v>46</v>
      </c>
      <c r="V105" s="29" t="s">
        <v>315</v>
      </c>
      <c r="W105" s="29" t="s">
        <v>170</v>
      </c>
      <c r="X105" s="29" t="s">
        <v>41</v>
      </c>
      <c r="Y105" s="29" t="s">
        <v>42</v>
      </c>
      <c r="Z105" s="30" t="s">
        <v>61</v>
      </c>
      <c r="AA105" s="39" t="s">
        <v>44</v>
      </c>
    </row>
    <row r="106" spans="1:27" ht="43.5" customHeight="1" x14ac:dyDescent="0.25">
      <c r="A106" s="17" t="s">
        <v>311</v>
      </c>
      <c r="B106" s="18" t="s">
        <v>323</v>
      </c>
      <c r="C106" s="19" t="s">
        <v>317</v>
      </c>
      <c r="D106" s="19"/>
      <c r="E106" s="20">
        <v>43889</v>
      </c>
      <c r="F106" s="29" t="s">
        <v>89</v>
      </c>
      <c r="G106" s="34" t="s">
        <v>53</v>
      </c>
      <c r="H106" s="35">
        <v>8</v>
      </c>
      <c r="I106" s="29" t="s">
        <v>33</v>
      </c>
      <c r="J106" s="19" t="s">
        <v>144</v>
      </c>
      <c r="K106" s="29" t="s">
        <v>324</v>
      </c>
      <c r="L106" s="24" t="s">
        <v>36</v>
      </c>
      <c r="M106" s="26">
        <f t="shared" si="3"/>
        <v>21218000</v>
      </c>
      <c r="N106" s="26">
        <f t="shared" si="2"/>
        <v>21218000</v>
      </c>
      <c r="O106" s="26">
        <v>21218000</v>
      </c>
      <c r="P106" s="26" t="s">
        <v>111</v>
      </c>
      <c r="Q106" s="26"/>
      <c r="R106" s="26"/>
      <c r="S106" s="29" t="s">
        <v>37</v>
      </c>
      <c r="T106" s="29" t="s">
        <v>38</v>
      </c>
      <c r="U106" s="29" t="s">
        <v>72</v>
      </c>
      <c r="V106" s="29" t="s">
        <v>315</v>
      </c>
      <c r="W106" s="29" t="s">
        <v>170</v>
      </c>
      <c r="X106" s="29" t="s">
        <v>41</v>
      </c>
      <c r="Y106" s="29" t="s">
        <v>42</v>
      </c>
      <c r="Z106" s="30" t="s">
        <v>43</v>
      </c>
      <c r="AA106" s="39" t="s">
        <v>44</v>
      </c>
    </row>
    <row r="107" spans="1:27" ht="99.75" customHeight="1" x14ac:dyDescent="0.25">
      <c r="A107" s="17" t="s">
        <v>325</v>
      </c>
      <c r="B107" s="18">
        <v>81112501</v>
      </c>
      <c r="C107" s="19" t="s">
        <v>326</v>
      </c>
      <c r="D107" s="19"/>
      <c r="E107" s="20">
        <v>43861</v>
      </c>
      <c r="F107" s="21" t="s">
        <v>96</v>
      </c>
      <c r="G107" s="32" t="s">
        <v>96</v>
      </c>
      <c r="H107" s="22">
        <v>1</v>
      </c>
      <c r="I107" s="23" t="s">
        <v>33</v>
      </c>
      <c r="J107" s="19" t="s">
        <v>34</v>
      </c>
      <c r="K107" s="29" t="s">
        <v>327</v>
      </c>
      <c r="L107" s="24" t="s">
        <v>285</v>
      </c>
      <c r="M107" s="26">
        <f t="shared" si="3"/>
        <v>124398741.31</v>
      </c>
      <c r="N107" s="26">
        <f t="shared" si="2"/>
        <v>124398741.31</v>
      </c>
      <c r="O107" s="26">
        <v>124398741.31</v>
      </c>
      <c r="P107" s="26"/>
      <c r="Q107" s="26"/>
      <c r="R107" s="26"/>
      <c r="S107" s="29" t="s">
        <v>37</v>
      </c>
      <c r="T107" s="29" t="s">
        <v>38</v>
      </c>
      <c r="U107" s="29" t="s">
        <v>98</v>
      </c>
      <c r="V107" s="29" t="s">
        <v>328</v>
      </c>
      <c r="W107" s="29" t="s">
        <v>325</v>
      </c>
      <c r="X107" s="29" t="s">
        <v>41</v>
      </c>
      <c r="Y107" s="29" t="s">
        <v>42</v>
      </c>
      <c r="Z107" s="30" t="s">
        <v>171</v>
      </c>
      <c r="AA107" s="39" t="s">
        <v>44</v>
      </c>
    </row>
    <row r="108" spans="1:27" ht="59.25" customHeight="1" x14ac:dyDescent="0.25">
      <c r="A108" s="17" t="s">
        <v>325</v>
      </c>
      <c r="B108" s="18" t="s">
        <v>329</v>
      </c>
      <c r="C108" s="19" t="s">
        <v>143</v>
      </c>
      <c r="D108" s="19"/>
      <c r="E108" s="20">
        <v>43889</v>
      </c>
      <c r="F108" s="29" t="s">
        <v>89</v>
      </c>
      <c r="G108" s="34" t="s">
        <v>53</v>
      </c>
      <c r="H108" s="35">
        <v>8</v>
      </c>
      <c r="I108" s="29" t="s">
        <v>33</v>
      </c>
      <c r="J108" s="19" t="s">
        <v>144</v>
      </c>
      <c r="K108" s="29" t="s">
        <v>330</v>
      </c>
      <c r="L108" s="24" t="s">
        <v>36</v>
      </c>
      <c r="M108" s="26">
        <f t="shared" si="3"/>
        <v>31827000</v>
      </c>
      <c r="N108" s="26">
        <f t="shared" si="2"/>
        <v>31827000</v>
      </c>
      <c r="O108" s="26">
        <v>31827000</v>
      </c>
      <c r="P108" s="26"/>
      <c r="Q108" s="26"/>
      <c r="R108" s="26"/>
      <c r="S108" s="29" t="s">
        <v>37</v>
      </c>
      <c r="T108" s="29" t="s">
        <v>38</v>
      </c>
      <c r="U108" s="29" t="s">
        <v>72</v>
      </c>
      <c r="V108" s="29" t="s">
        <v>328</v>
      </c>
      <c r="W108" s="29" t="s">
        <v>325</v>
      </c>
      <c r="X108" s="29" t="s">
        <v>41</v>
      </c>
      <c r="Y108" s="29" t="s">
        <v>42</v>
      </c>
      <c r="Z108" s="30" t="s">
        <v>171</v>
      </c>
      <c r="AA108" s="39" t="s">
        <v>44</v>
      </c>
    </row>
    <row r="109" spans="1:27" ht="42.75" customHeight="1" x14ac:dyDescent="0.25">
      <c r="A109" s="17" t="s">
        <v>331</v>
      </c>
      <c r="B109" s="18">
        <v>60105412</v>
      </c>
      <c r="C109" s="19" t="s">
        <v>332</v>
      </c>
      <c r="D109" s="33">
        <v>44196</v>
      </c>
      <c r="E109" s="20">
        <v>43921</v>
      </c>
      <c r="F109" s="29" t="s">
        <v>89</v>
      </c>
      <c r="G109" s="32" t="s">
        <v>89</v>
      </c>
      <c r="H109" s="72">
        <v>12</v>
      </c>
      <c r="I109" s="40" t="s">
        <v>33</v>
      </c>
      <c r="J109" s="19" t="s">
        <v>127</v>
      </c>
      <c r="K109" s="29" t="s">
        <v>333</v>
      </c>
      <c r="L109" s="24" t="s">
        <v>36</v>
      </c>
      <c r="M109" s="26">
        <f t="shared" si="3"/>
        <v>15810845400</v>
      </c>
      <c r="N109" s="26">
        <f t="shared" si="2"/>
        <v>15810845400</v>
      </c>
      <c r="O109" s="26" t="s">
        <v>111</v>
      </c>
      <c r="P109" s="26">
        <v>15810845400</v>
      </c>
      <c r="Q109" s="26"/>
      <c r="R109" s="26"/>
      <c r="S109" s="29" t="s">
        <v>37</v>
      </c>
      <c r="T109" s="29" t="s">
        <v>38</v>
      </c>
      <c r="U109" s="29" t="s">
        <v>98</v>
      </c>
      <c r="V109" s="29" t="s">
        <v>334</v>
      </c>
      <c r="W109" s="29" t="s">
        <v>170</v>
      </c>
      <c r="X109" s="29" t="s">
        <v>41</v>
      </c>
      <c r="Y109" s="29" t="s">
        <v>42</v>
      </c>
      <c r="Z109" s="30" t="s">
        <v>335</v>
      </c>
      <c r="AA109" s="39" t="s">
        <v>44</v>
      </c>
    </row>
    <row r="110" spans="1:27" ht="42.75" customHeight="1" x14ac:dyDescent="0.25">
      <c r="A110" s="17" t="s">
        <v>331</v>
      </c>
      <c r="B110" s="18">
        <v>60105413</v>
      </c>
      <c r="C110" s="19" t="s">
        <v>336</v>
      </c>
      <c r="D110" s="33"/>
      <c r="E110" s="20"/>
      <c r="F110" s="29"/>
      <c r="G110" s="32"/>
      <c r="H110" s="72"/>
      <c r="I110" s="40"/>
      <c r="J110" s="19"/>
      <c r="K110" s="29" t="s">
        <v>333</v>
      </c>
      <c r="L110" s="24" t="s">
        <v>109</v>
      </c>
      <c r="M110" s="26">
        <f>+N110+Q110+R110</f>
        <v>1645129080</v>
      </c>
      <c r="N110" s="26">
        <f t="shared" si="2"/>
        <v>1645129080</v>
      </c>
      <c r="O110" s="26" t="s">
        <v>337</v>
      </c>
      <c r="P110" s="26">
        <f>17455974480-15810845401</f>
        <v>1645129079</v>
      </c>
      <c r="Q110" s="26"/>
      <c r="R110" s="26"/>
      <c r="S110" s="29"/>
      <c r="T110" s="29"/>
      <c r="U110" s="29" t="s">
        <v>46</v>
      </c>
      <c r="V110" s="29" t="s">
        <v>334</v>
      </c>
      <c r="W110" s="29" t="s">
        <v>170</v>
      </c>
      <c r="X110" s="29" t="s">
        <v>41</v>
      </c>
      <c r="Y110" s="29" t="s">
        <v>42</v>
      </c>
      <c r="Z110" s="30" t="s">
        <v>338</v>
      </c>
      <c r="AA110" s="39"/>
    </row>
    <row r="111" spans="1:27" ht="114" customHeight="1" x14ac:dyDescent="0.25">
      <c r="A111" s="17" t="s">
        <v>331</v>
      </c>
      <c r="B111" s="18">
        <v>84131501</v>
      </c>
      <c r="C111" s="19" t="s">
        <v>339</v>
      </c>
      <c r="D111" s="19"/>
      <c r="E111" s="33">
        <v>43833</v>
      </c>
      <c r="F111" s="29" t="s">
        <v>150</v>
      </c>
      <c r="G111" s="32" t="s">
        <v>96</v>
      </c>
      <c r="H111" s="72">
        <v>10.5</v>
      </c>
      <c r="I111" s="40" t="s">
        <v>33</v>
      </c>
      <c r="J111" s="19" t="s">
        <v>313</v>
      </c>
      <c r="K111" s="116" t="s">
        <v>340</v>
      </c>
      <c r="L111" s="24" t="s">
        <v>36</v>
      </c>
      <c r="M111" s="26">
        <f t="shared" si="3"/>
        <v>752719920</v>
      </c>
      <c r="N111" s="26">
        <f t="shared" si="2"/>
        <v>752719920</v>
      </c>
      <c r="O111" s="26" t="s">
        <v>111</v>
      </c>
      <c r="P111" s="26">
        <v>752719920</v>
      </c>
      <c r="Q111" s="26"/>
      <c r="R111" s="26"/>
      <c r="S111" s="29" t="s">
        <v>37</v>
      </c>
      <c r="T111" s="29" t="s">
        <v>38</v>
      </c>
      <c r="U111" s="29" t="s">
        <v>98</v>
      </c>
      <c r="V111" s="29" t="s">
        <v>334</v>
      </c>
      <c r="W111" s="29" t="s">
        <v>170</v>
      </c>
      <c r="X111" s="29" t="s">
        <v>41</v>
      </c>
      <c r="Y111" s="29" t="s">
        <v>42</v>
      </c>
      <c r="Z111" s="30" t="s">
        <v>335</v>
      </c>
      <c r="AA111" s="39" t="s">
        <v>44</v>
      </c>
    </row>
    <row r="112" spans="1:27" ht="114" customHeight="1" x14ac:dyDescent="0.25">
      <c r="A112" s="17" t="s">
        <v>331</v>
      </c>
      <c r="B112" s="18">
        <v>84131502</v>
      </c>
      <c r="C112" s="19" t="s">
        <v>341</v>
      </c>
      <c r="D112" s="19"/>
      <c r="E112" s="33"/>
      <c r="F112" s="29"/>
      <c r="G112" s="32"/>
      <c r="H112" s="72"/>
      <c r="I112" s="40"/>
      <c r="J112" s="19"/>
      <c r="K112" s="29" t="s">
        <v>342</v>
      </c>
      <c r="L112" s="24" t="s">
        <v>109</v>
      </c>
      <c r="M112" s="26">
        <f>+N112+Q112+R112</f>
        <v>728459</v>
      </c>
      <c r="N112" s="26">
        <f t="shared" si="2"/>
        <v>728459</v>
      </c>
      <c r="O112" s="26"/>
      <c r="P112" s="26">
        <f>753448379-752719920</f>
        <v>728459</v>
      </c>
      <c r="Q112" s="26"/>
      <c r="R112" s="26"/>
      <c r="S112" s="29" t="s">
        <v>37</v>
      </c>
      <c r="T112" s="29" t="s">
        <v>38</v>
      </c>
      <c r="U112" s="29" t="s">
        <v>46</v>
      </c>
      <c r="V112" s="29" t="s">
        <v>334</v>
      </c>
      <c r="W112" s="29" t="s">
        <v>170</v>
      </c>
      <c r="X112" s="29" t="s">
        <v>41</v>
      </c>
      <c r="Y112" s="29" t="s">
        <v>42</v>
      </c>
      <c r="Z112" s="30" t="s">
        <v>338</v>
      </c>
      <c r="AA112" s="39" t="s">
        <v>44</v>
      </c>
    </row>
    <row r="113" spans="1:27" ht="75.650000000000006" customHeight="1" x14ac:dyDescent="0.25">
      <c r="A113" s="17" t="s">
        <v>343</v>
      </c>
      <c r="B113" s="18">
        <v>81112211</v>
      </c>
      <c r="C113" s="19" t="s">
        <v>344</v>
      </c>
      <c r="D113" s="19"/>
      <c r="E113" s="20">
        <v>43903</v>
      </c>
      <c r="F113" s="29" t="s">
        <v>82</v>
      </c>
      <c r="G113" s="32" t="s">
        <v>82</v>
      </c>
      <c r="H113" s="72">
        <v>9</v>
      </c>
      <c r="I113" s="23" t="s">
        <v>33</v>
      </c>
      <c r="J113" s="19" t="s">
        <v>34</v>
      </c>
      <c r="K113" s="29" t="s">
        <v>345</v>
      </c>
      <c r="L113" s="74" t="s">
        <v>346</v>
      </c>
      <c r="M113" s="26">
        <f t="shared" si="3"/>
        <v>64252920</v>
      </c>
      <c r="N113" s="26">
        <f t="shared" si="2"/>
        <v>64252920</v>
      </c>
      <c r="O113" s="26">
        <v>64252920</v>
      </c>
      <c r="P113" s="26">
        <v>0</v>
      </c>
      <c r="Q113" s="26"/>
      <c r="R113" s="26"/>
      <c r="S113" s="29" t="s">
        <v>37</v>
      </c>
      <c r="T113" s="29" t="s">
        <v>38</v>
      </c>
      <c r="U113" s="29" t="s">
        <v>98</v>
      </c>
      <c r="V113" s="29" t="s">
        <v>347</v>
      </c>
      <c r="W113" s="29" t="s">
        <v>170</v>
      </c>
      <c r="X113" s="29" t="s">
        <v>41</v>
      </c>
      <c r="Y113" s="29" t="s">
        <v>42</v>
      </c>
      <c r="Z113" s="30" t="s">
        <v>335</v>
      </c>
      <c r="AA113" s="39" t="s">
        <v>44</v>
      </c>
    </row>
    <row r="114" spans="1:27" ht="38.25" customHeight="1" x14ac:dyDescent="0.25">
      <c r="A114" s="17" t="s">
        <v>343</v>
      </c>
      <c r="B114" s="18" t="s">
        <v>348</v>
      </c>
      <c r="C114" s="19" t="s">
        <v>349</v>
      </c>
      <c r="D114" s="19"/>
      <c r="E114" s="20">
        <v>43903</v>
      </c>
      <c r="F114" s="29" t="s">
        <v>82</v>
      </c>
      <c r="G114" s="21" t="s">
        <v>53</v>
      </c>
      <c r="H114" s="72">
        <v>9</v>
      </c>
      <c r="I114" s="40" t="s">
        <v>33</v>
      </c>
      <c r="J114" s="19" t="s">
        <v>198</v>
      </c>
      <c r="K114" s="29" t="s">
        <v>350</v>
      </c>
      <c r="L114" s="74" t="s">
        <v>351</v>
      </c>
      <c r="M114" s="26">
        <f t="shared" si="3"/>
        <v>54583120</v>
      </c>
      <c r="N114" s="26">
        <f t="shared" si="2"/>
        <v>54583120</v>
      </c>
      <c r="O114" s="26">
        <f>60000000-43625064</f>
        <v>16374936</v>
      </c>
      <c r="P114" s="26">
        <f>60000000-21791816</f>
        <v>38208184</v>
      </c>
      <c r="Q114" s="26"/>
      <c r="R114" s="26"/>
      <c r="S114" s="29" t="s">
        <v>37</v>
      </c>
      <c r="T114" s="29" t="s">
        <v>38</v>
      </c>
      <c r="U114" s="29" t="s">
        <v>72</v>
      </c>
      <c r="V114" s="29" t="s">
        <v>347</v>
      </c>
      <c r="W114" s="29" t="s">
        <v>170</v>
      </c>
      <c r="X114" s="29" t="s">
        <v>41</v>
      </c>
      <c r="Y114" s="29" t="s">
        <v>42</v>
      </c>
      <c r="Z114" s="30" t="s">
        <v>335</v>
      </c>
      <c r="AA114" s="39" t="s">
        <v>44</v>
      </c>
    </row>
    <row r="115" spans="1:27" ht="38.25" customHeight="1" x14ac:dyDescent="0.25">
      <c r="A115" s="17" t="s">
        <v>343</v>
      </c>
      <c r="B115" s="18" t="s">
        <v>348</v>
      </c>
      <c r="C115" s="19" t="s">
        <v>352</v>
      </c>
      <c r="D115" s="19"/>
      <c r="E115" s="20">
        <v>43981</v>
      </c>
      <c r="F115" s="29" t="s">
        <v>53</v>
      </c>
      <c r="G115" s="21" t="s">
        <v>32</v>
      </c>
      <c r="H115" s="72">
        <v>10</v>
      </c>
      <c r="I115" s="40" t="s">
        <v>33</v>
      </c>
      <c r="J115" s="19" t="s">
        <v>173</v>
      </c>
      <c r="K115" s="29" t="s">
        <v>350</v>
      </c>
      <c r="L115" s="74" t="s">
        <v>353</v>
      </c>
      <c r="M115" s="26">
        <f>+N115+Q115+R115</f>
        <v>65416880</v>
      </c>
      <c r="N115" s="26">
        <f t="shared" si="2"/>
        <v>65416880</v>
      </c>
      <c r="O115" s="26">
        <v>19625064</v>
      </c>
      <c r="P115" s="26">
        <v>45791816</v>
      </c>
      <c r="Q115" s="26"/>
      <c r="R115" s="26"/>
      <c r="S115" s="29" t="s">
        <v>37</v>
      </c>
      <c r="T115" s="29" t="s">
        <v>38</v>
      </c>
      <c r="U115" s="29" t="s">
        <v>72</v>
      </c>
      <c r="V115" s="29" t="s">
        <v>347</v>
      </c>
      <c r="W115" s="29" t="s">
        <v>170</v>
      </c>
      <c r="X115" s="29" t="s">
        <v>41</v>
      </c>
      <c r="Y115" s="29" t="s">
        <v>42</v>
      </c>
      <c r="Z115" s="30" t="s">
        <v>338</v>
      </c>
      <c r="AA115" s="39" t="s">
        <v>44</v>
      </c>
    </row>
    <row r="116" spans="1:27" ht="57" customHeight="1" x14ac:dyDescent="0.25">
      <c r="A116" s="17" t="s">
        <v>343</v>
      </c>
      <c r="B116" s="18">
        <v>44103103</v>
      </c>
      <c r="C116" s="19" t="s">
        <v>354</v>
      </c>
      <c r="D116" s="19"/>
      <c r="E116" s="20">
        <v>43951</v>
      </c>
      <c r="F116" s="21" t="s">
        <v>202</v>
      </c>
      <c r="G116" s="73" t="s">
        <v>202</v>
      </c>
      <c r="H116" s="72">
        <v>6</v>
      </c>
      <c r="I116" s="40" t="s">
        <v>33</v>
      </c>
      <c r="J116" s="19" t="s">
        <v>173</v>
      </c>
      <c r="K116" s="29" t="s">
        <v>355</v>
      </c>
      <c r="L116" s="74" t="s">
        <v>356</v>
      </c>
      <c r="M116" s="26">
        <f t="shared" si="3"/>
        <v>64681252</v>
      </c>
      <c r="N116" s="26">
        <f t="shared" si="2"/>
        <v>64681252</v>
      </c>
      <c r="O116" s="26">
        <f>140000000-123969274+3373650</f>
        <v>19404376</v>
      </c>
      <c r="P116" s="26">
        <f>60000000-22594974+7871850</f>
        <v>45276876</v>
      </c>
      <c r="Q116" s="26"/>
      <c r="R116" s="26"/>
      <c r="S116" s="29" t="s">
        <v>37</v>
      </c>
      <c r="T116" s="29" t="s">
        <v>38</v>
      </c>
      <c r="U116" s="29" t="s">
        <v>72</v>
      </c>
      <c r="V116" s="29" t="s">
        <v>347</v>
      </c>
      <c r="W116" s="29" t="s">
        <v>170</v>
      </c>
      <c r="X116" s="29" t="s">
        <v>41</v>
      </c>
      <c r="Y116" s="29" t="s">
        <v>42</v>
      </c>
      <c r="Z116" s="30" t="s">
        <v>335</v>
      </c>
      <c r="AA116" s="39" t="s">
        <v>44</v>
      </c>
    </row>
    <row r="117" spans="1:27" ht="57" customHeight="1" x14ac:dyDescent="0.25">
      <c r="A117" s="17" t="s">
        <v>343</v>
      </c>
      <c r="B117" s="18">
        <v>44103103</v>
      </c>
      <c r="C117" s="19" t="s">
        <v>357</v>
      </c>
      <c r="D117" s="19"/>
      <c r="E117" s="20">
        <v>43951</v>
      </c>
      <c r="F117" s="21" t="s">
        <v>202</v>
      </c>
      <c r="G117" s="73" t="s">
        <v>115</v>
      </c>
      <c r="H117" s="72">
        <v>1</v>
      </c>
      <c r="I117" s="40" t="s">
        <v>33</v>
      </c>
      <c r="J117" s="19" t="s">
        <v>198</v>
      </c>
      <c r="K117" s="29" t="s">
        <v>355</v>
      </c>
      <c r="L117" s="74" t="s">
        <v>356</v>
      </c>
      <c r="M117" s="26">
        <f>+N117+Q117+R117</f>
        <v>135318748</v>
      </c>
      <c r="N117" s="26">
        <f t="shared" si="2"/>
        <v>135318748</v>
      </c>
      <c r="O117" s="26">
        <f>123969274-3373650-80000000</f>
        <v>40595624</v>
      </c>
      <c r="P117" s="26">
        <f>22594974-7871850+80000000</f>
        <v>94723124</v>
      </c>
      <c r="Q117" s="26"/>
      <c r="R117" s="26"/>
      <c r="S117" s="29" t="s">
        <v>37</v>
      </c>
      <c r="T117" s="29" t="s">
        <v>38</v>
      </c>
      <c r="U117" s="29" t="s">
        <v>72</v>
      </c>
      <c r="V117" s="29" t="s">
        <v>347</v>
      </c>
      <c r="W117" s="29" t="s">
        <v>170</v>
      </c>
      <c r="X117" s="29" t="s">
        <v>41</v>
      </c>
      <c r="Y117" s="29" t="s">
        <v>42</v>
      </c>
      <c r="Z117" s="30" t="s">
        <v>335</v>
      </c>
      <c r="AA117" s="39" t="s">
        <v>44</v>
      </c>
    </row>
    <row r="118" spans="1:27" ht="71.25" customHeight="1" x14ac:dyDescent="0.25">
      <c r="A118" s="17" t="s">
        <v>358</v>
      </c>
      <c r="B118" s="18" t="s">
        <v>348</v>
      </c>
      <c r="C118" s="19" t="s">
        <v>359</v>
      </c>
      <c r="D118" s="19"/>
      <c r="E118" s="20">
        <v>43889</v>
      </c>
      <c r="F118" s="21" t="s">
        <v>89</v>
      </c>
      <c r="G118" s="73" t="s">
        <v>89</v>
      </c>
      <c r="H118" s="72" t="s">
        <v>83</v>
      </c>
      <c r="I118" s="40" t="s">
        <v>33</v>
      </c>
      <c r="J118" s="19" t="s">
        <v>198</v>
      </c>
      <c r="K118" s="29" t="s">
        <v>360</v>
      </c>
      <c r="L118" s="74" t="s">
        <v>361</v>
      </c>
      <c r="M118" s="26">
        <f>+N118+Q118+R118</f>
        <v>100000000</v>
      </c>
      <c r="N118" s="26">
        <f t="shared" si="2"/>
        <v>100000000</v>
      </c>
      <c r="O118" s="26">
        <v>100000000</v>
      </c>
      <c r="P118" s="26" t="s">
        <v>111</v>
      </c>
      <c r="Q118" s="26"/>
      <c r="R118" s="26"/>
      <c r="S118" s="29" t="s">
        <v>37</v>
      </c>
      <c r="T118" s="29" t="s">
        <v>38</v>
      </c>
      <c r="U118" s="29" t="s">
        <v>72</v>
      </c>
      <c r="V118" s="29" t="s">
        <v>334</v>
      </c>
      <c r="W118" s="29" t="s">
        <v>170</v>
      </c>
      <c r="X118" s="29" t="s">
        <v>41</v>
      </c>
      <c r="Y118" s="29" t="s">
        <v>42</v>
      </c>
      <c r="Z118" s="30" t="s">
        <v>335</v>
      </c>
      <c r="AA118" s="39" t="s">
        <v>44</v>
      </c>
    </row>
    <row r="119" spans="1:27" ht="71.25" customHeight="1" x14ac:dyDescent="0.25">
      <c r="A119" s="17" t="s">
        <v>358</v>
      </c>
      <c r="B119" s="18" t="s">
        <v>362</v>
      </c>
      <c r="C119" s="19" t="s">
        <v>363</v>
      </c>
      <c r="D119" s="19"/>
      <c r="E119" s="20">
        <v>43889</v>
      </c>
      <c r="F119" s="21" t="s">
        <v>89</v>
      </c>
      <c r="G119" s="73" t="s">
        <v>89</v>
      </c>
      <c r="H119" s="72">
        <v>2</v>
      </c>
      <c r="I119" s="40" t="s">
        <v>33</v>
      </c>
      <c r="J119" s="19" t="s">
        <v>230</v>
      </c>
      <c r="K119" s="29" t="s">
        <v>364</v>
      </c>
      <c r="L119" s="74" t="s">
        <v>365</v>
      </c>
      <c r="M119" s="26">
        <f>+N119+Q119+R119</f>
        <v>7998000</v>
      </c>
      <c r="N119" s="26">
        <f t="shared" si="2"/>
        <v>7998000</v>
      </c>
      <c r="O119" s="26">
        <f>10000000-2002000</f>
        <v>7998000</v>
      </c>
      <c r="P119" s="26" t="s">
        <v>111</v>
      </c>
      <c r="Q119" s="26"/>
      <c r="R119" s="26"/>
      <c r="S119" s="29" t="s">
        <v>37</v>
      </c>
      <c r="T119" s="29" t="s">
        <v>38</v>
      </c>
      <c r="U119" s="29" t="s">
        <v>98</v>
      </c>
      <c r="V119" s="29" t="s">
        <v>334</v>
      </c>
      <c r="W119" s="29" t="s">
        <v>170</v>
      </c>
      <c r="X119" s="29" t="s">
        <v>41</v>
      </c>
      <c r="Y119" s="29" t="s">
        <v>42</v>
      </c>
      <c r="Z119" s="30" t="s">
        <v>335</v>
      </c>
      <c r="AA119" s="39" t="s">
        <v>44</v>
      </c>
    </row>
    <row r="120" spans="1:27" ht="71.25" customHeight="1" x14ac:dyDescent="0.25">
      <c r="A120" s="17" t="s">
        <v>358</v>
      </c>
      <c r="B120" s="18" t="s">
        <v>366</v>
      </c>
      <c r="C120" s="19" t="s">
        <v>367</v>
      </c>
      <c r="D120" s="19"/>
      <c r="E120" s="20"/>
      <c r="F120" s="21"/>
      <c r="G120" s="73"/>
      <c r="H120" s="72"/>
      <c r="I120" s="40"/>
      <c r="J120" s="19"/>
      <c r="K120" s="29" t="s">
        <v>364</v>
      </c>
      <c r="L120" s="74" t="s">
        <v>368</v>
      </c>
      <c r="M120" s="26">
        <f>+N120+Q120+R120</f>
        <v>2002001</v>
      </c>
      <c r="N120" s="26">
        <f t="shared" si="2"/>
        <v>2002001</v>
      </c>
      <c r="O120" s="26">
        <f>10000000-7998000</f>
        <v>2002000</v>
      </c>
      <c r="P120" s="26" t="s">
        <v>337</v>
      </c>
      <c r="Q120" s="26"/>
      <c r="R120" s="26"/>
      <c r="S120" s="29" t="s">
        <v>37</v>
      </c>
      <c r="T120" s="29" t="s">
        <v>38</v>
      </c>
      <c r="U120" s="29" t="s">
        <v>46</v>
      </c>
      <c r="V120" s="29"/>
      <c r="W120" s="29"/>
      <c r="X120" s="29"/>
      <c r="Y120" s="29"/>
      <c r="Z120" s="30"/>
      <c r="AA120" s="39"/>
    </row>
    <row r="121" spans="1:27" ht="42.75" customHeight="1" x14ac:dyDescent="0.25">
      <c r="A121" s="17" t="s">
        <v>358</v>
      </c>
      <c r="B121" s="18" t="s">
        <v>369</v>
      </c>
      <c r="C121" s="19" t="s">
        <v>370</v>
      </c>
      <c r="D121" s="33">
        <v>44012</v>
      </c>
      <c r="E121" s="106"/>
      <c r="F121" s="21"/>
      <c r="G121" s="21"/>
      <c r="H121" s="35" t="s">
        <v>83</v>
      </c>
      <c r="I121" s="23" t="s">
        <v>33</v>
      </c>
      <c r="J121" s="24" t="s">
        <v>49</v>
      </c>
      <c r="K121" s="24" t="s">
        <v>371</v>
      </c>
      <c r="L121" s="41" t="s">
        <v>36</v>
      </c>
      <c r="M121" s="26">
        <f t="shared" si="3"/>
        <v>332618904</v>
      </c>
      <c r="N121" s="26">
        <f t="shared" si="2"/>
        <v>332618904</v>
      </c>
      <c r="O121" s="26">
        <f>332618904</f>
        <v>332618904</v>
      </c>
      <c r="P121" s="26" t="s">
        <v>111</v>
      </c>
      <c r="Q121" s="26"/>
      <c r="R121" s="26"/>
      <c r="S121" s="29" t="s">
        <v>37</v>
      </c>
      <c r="T121" s="29" t="s">
        <v>38</v>
      </c>
      <c r="U121" s="29" t="s">
        <v>51</v>
      </c>
      <c r="V121" s="29" t="s">
        <v>334</v>
      </c>
      <c r="W121" s="29" t="s">
        <v>170</v>
      </c>
      <c r="X121" s="29" t="s">
        <v>41</v>
      </c>
      <c r="Y121" s="29" t="s">
        <v>42</v>
      </c>
      <c r="Z121" s="30" t="s">
        <v>335</v>
      </c>
      <c r="AA121" s="39" t="s">
        <v>44</v>
      </c>
    </row>
    <row r="122" spans="1:27" ht="57" customHeight="1" x14ac:dyDescent="0.25">
      <c r="A122" s="17" t="s">
        <v>358</v>
      </c>
      <c r="B122" s="18" t="s">
        <v>369</v>
      </c>
      <c r="C122" s="19" t="s">
        <v>372</v>
      </c>
      <c r="D122" s="33"/>
      <c r="E122" s="20">
        <v>43955</v>
      </c>
      <c r="F122" s="21" t="s">
        <v>53</v>
      </c>
      <c r="G122" s="73" t="s">
        <v>32</v>
      </c>
      <c r="H122" s="72">
        <v>6</v>
      </c>
      <c r="I122" s="40" t="s">
        <v>33</v>
      </c>
      <c r="J122" s="19" t="s">
        <v>34</v>
      </c>
      <c r="K122" s="29" t="s">
        <v>371</v>
      </c>
      <c r="L122" s="74" t="s">
        <v>36</v>
      </c>
      <c r="M122" s="26">
        <f>+N122+Q122+R122</f>
        <v>1370436325</v>
      </c>
      <c r="N122" s="26">
        <f t="shared" si="2"/>
        <v>329862292</v>
      </c>
      <c r="O122" s="26">
        <f>330517864+2101040-703000-1368040-685572</f>
        <v>329862292</v>
      </c>
      <c r="P122" s="26" t="s">
        <v>111</v>
      </c>
      <c r="Q122" s="26">
        <v>683319735</v>
      </c>
      <c r="R122" s="26">
        <v>357254298</v>
      </c>
      <c r="S122" s="29" t="s">
        <v>178</v>
      </c>
      <c r="T122" s="29" t="s">
        <v>174</v>
      </c>
      <c r="U122" s="29" t="s">
        <v>98</v>
      </c>
      <c r="V122" s="29" t="s">
        <v>334</v>
      </c>
      <c r="W122" s="29" t="s">
        <v>170</v>
      </c>
      <c r="X122" s="29" t="s">
        <v>41</v>
      </c>
      <c r="Y122" s="29" t="s">
        <v>42</v>
      </c>
      <c r="Z122" s="30" t="s">
        <v>335</v>
      </c>
      <c r="AA122" s="39" t="s">
        <v>44</v>
      </c>
    </row>
    <row r="123" spans="1:27" ht="57" customHeight="1" x14ac:dyDescent="0.25">
      <c r="A123" s="17" t="s">
        <v>358</v>
      </c>
      <c r="B123" s="18" t="s">
        <v>369</v>
      </c>
      <c r="C123" s="19" t="s">
        <v>373</v>
      </c>
      <c r="D123" s="33"/>
      <c r="E123" s="20"/>
      <c r="F123" s="21"/>
      <c r="G123" s="73"/>
      <c r="H123" s="72"/>
      <c r="I123" s="40"/>
      <c r="J123" s="19"/>
      <c r="K123" s="29" t="s">
        <v>371</v>
      </c>
      <c r="L123" s="74" t="s">
        <v>36</v>
      </c>
      <c r="M123" s="26">
        <f>+N123+Q123+R123</f>
        <v>685572</v>
      </c>
      <c r="N123" s="26">
        <f t="shared" si="2"/>
        <v>685572</v>
      </c>
      <c r="O123" s="26">
        <v>685572</v>
      </c>
      <c r="P123" s="26" t="s">
        <v>111</v>
      </c>
      <c r="Q123" s="26"/>
      <c r="R123" s="26"/>
      <c r="S123" s="29" t="s">
        <v>178</v>
      </c>
      <c r="T123" s="29" t="s">
        <v>174</v>
      </c>
      <c r="U123" s="29" t="s">
        <v>46</v>
      </c>
      <c r="V123" s="29" t="s">
        <v>334</v>
      </c>
      <c r="W123" s="29" t="s">
        <v>170</v>
      </c>
      <c r="X123" s="29" t="s">
        <v>41</v>
      </c>
      <c r="Y123" s="29" t="s">
        <v>42</v>
      </c>
      <c r="Z123" s="30" t="s">
        <v>335</v>
      </c>
      <c r="AA123" s="39" t="s">
        <v>44</v>
      </c>
    </row>
    <row r="124" spans="1:27" ht="42.75" customHeight="1" x14ac:dyDescent="0.25">
      <c r="A124" s="17" t="s">
        <v>358</v>
      </c>
      <c r="B124" s="18">
        <v>78102201</v>
      </c>
      <c r="C124" s="19" t="s">
        <v>374</v>
      </c>
      <c r="D124" s="33">
        <v>44012</v>
      </c>
      <c r="E124" s="20"/>
      <c r="F124" s="21"/>
      <c r="G124" s="21"/>
      <c r="H124" s="35" t="s">
        <v>83</v>
      </c>
      <c r="I124" s="23" t="s">
        <v>33</v>
      </c>
      <c r="J124" s="24" t="s">
        <v>49</v>
      </c>
      <c r="K124" s="24" t="s">
        <v>375</v>
      </c>
      <c r="L124" s="41" t="s">
        <v>36</v>
      </c>
      <c r="M124" s="26">
        <f t="shared" si="3"/>
        <v>224910000</v>
      </c>
      <c r="N124" s="26">
        <f t="shared" si="2"/>
        <v>224910000</v>
      </c>
      <c r="O124" s="26">
        <v>224910000</v>
      </c>
      <c r="P124" s="26" t="s">
        <v>111</v>
      </c>
      <c r="Q124" s="26"/>
      <c r="R124" s="26"/>
      <c r="S124" s="29" t="s">
        <v>37</v>
      </c>
      <c r="T124" s="29" t="s">
        <v>38</v>
      </c>
      <c r="U124" s="29" t="s">
        <v>51</v>
      </c>
      <c r="V124" s="29" t="s">
        <v>334</v>
      </c>
      <c r="W124" s="29" t="s">
        <v>170</v>
      </c>
      <c r="X124" s="29" t="s">
        <v>41</v>
      </c>
      <c r="Y124" s="29" t="s">
        <v>42</v>
      </c>
      <c r="Z124" s="30" t="s">
        <v>335</v>
      </c>
      <c r="AA124" s="39" t="s">
        <v>44</v>
      </c>
    </row>
    <row r="125" spans="1:27" ht="57" customHeight="1" x14ac:dyDescent="0.25">
      <c r="A125" s="17" t="s">
        <v>358</v>
      </c>
      <c r="B125" s="18">
        <v>78102201</v>
      </c>
      <c r="C125" s="19" t="s">
        <v>376</v>
      </c>
      <c r="D125" s="19"/>
      <c r="E125" s="20">
        <v>43955</v>
      </c>
      <c r="F125" s="21" t="s">
        <v>53</v>
      </c>
      <c r="G125" s="73" t="s">
        <v>32</v>
      </c>
      <c r="H125" s="72">
        <v>6</v>
      </c>
      <c r="I125" s="40" t="s">
        <v>33</v>
      </c>
      <c r="J125" s="19" t="s">
        <v>34</v>
      </c>
      <c r="K125" s="29" t="s">
        <v>375</v>
      </c>
      <c r="L125" s="74" t="s">
        <v>36</v>
      </c>
      <c r="M125" s="26">
        <f t="shared" si="3"/>
        <v>714217875</v>
      </c>
      <c r="N125" s="26">
        <f t="shared" si="2"/>
        <v>171957988</v>
      </c>
      <c r="O125" s="26">
        <f>173945940-1987952</f>
        <v>171957988</v>
      </c>
      <c r="P125" s="26" t="s">
        <v>111</v>
      </c>
      <c r="Q125" s="26">
        <v>356984784</v>
      </c>
      <c r="R125" s="26">
        <v>185275103</v>
      </c>
      <c r="S125" s="29" t="s">
        <v>178</v>
      </c>
      <c r="T125" s="29" t="s">
        <v>174</v>
      </c>
      <c r="U125" s="29" t="s">
        <v>98</v>
      </c>
      <c r="V125" s="29" t="s">
        <v>334</v>
      </c>
      <c r="W125" s="29" t="s">
        <v>170</v>
      </c>
      <c r="X125" s="29" t="s">
        <v>41</v>
      </c>
      <c r="Y125" s="29" t="s">
        <v>42</v>
      </c>
      <c r="Z125" s="30" t="s">
        <v>335</v>
      </c>
      <c r="AA125" s="39" t="s">
        <v>44</v>
      </c>
    </row>
    <row r="126" spans="1:27" ht="57" customHeight="1" x14ac:dyDescent="0.25">
      <c r="A126" s="17" t="s">
        <v>358</v>
      </c>
      <c r="B126" s="18">
        <v>78102201</v>
      </c>
      <c r="C126" s="19" t="s">
        <v>377</v>
      </c>
      <c r="D126" s="19"/>
      <c r="E126" s="20"/>
      <c r="F126" s="21"/>
      <c r="G126" s="73"/>
      <c r="H126" s="72"/>
      <c r="I126" s="40"/>
      <c r="J126" s="19"/>
      <c r="K126" s="29" t="s">
        <v>375</v>
      </c>
      <c r="L126" s="74" t="s">
        <v>36</v>
      </c>
      <c r="M126" s="26">
        <f>+N126+Q126+R126</f>
        <v>1987952</v>
      </c>
      <c r="N126" s="26">
        <f t="shared" si="2"/>
        <v>1987952</v>
      </c>
      <c r="O126" s="26">
        <f>173945940-171957988</f>
        <v>1987952</v>
      </c>
      <c r="P126" s="26" t="s">
        <v>111</v>
      </c>
      <c r="Q126" s="26"/>
      <c r="R126" s="26"/>
      <c r="S126" s="29"/>
      <c r="T126" s="29"/>
      <c r="U126" s="29" t="s">
        <v>46</v>
      </c>
      <c r="V126" s="29" t="s">
        <v>334</v>
      </c>
      <c r="W126" s="29" t="s">
        <v>170</v>
      </c>
      <c r="X126" s="29" t="s">
        <v>41</v>
      </c>
      <c r="Y126" s="29" t="s">
        <v>42</v>
      </c>
      <c r="Z126" s="30" t="s">
        <v>335</v>
      </c>
      <c r="AA126" s="39" t="s">
        <v>44</v>
      </c>
    </row>
    <row r="127" spans="1:27" ht="42.75" customHeight="1" x14ac:dyDescent="0.25">
      <c r="A127" s="17" t="s">
        <v>378</v>
      </c>
      <c r="B127" s="18">
        <v>78181701</v>
      </c>
      <c r="C127" s="19" t="s">
        <v>379</v>
      </c>
      <c r="D127" s="33">
        <v>44165</v>
      </c>
      <c r="E127" s="20"/>
      <c r="F127" s="21"/>
      <c r="G127" s="21"/>
      <c r="H127" s="35">
        <v>11</v>
      </c>
      <c r="I127" s="23" t="s">
        <v>33</v>
      </c>
      <c r="J127" s="24" t="s">
        <v>49</v>
      </c>
      <c r="K127" s="24" t="s">
        <v>380</v>
      </c>
      <c r="L127" s="41" t="s">
        <v>381</v>
      </c>
      <c r="M127" s="26">
        <f t="shared" si="3"/>
        <v>71005142</v>
      </c>
      <c r="N127" s="26">
        <f t="shared" si="2"/>
        <v>71005142</v>
      </c>
      <c r="O127" s="26">
        <f>71005142</f>
        <v>71005142</v>
      </c>
      <c r="P127" s="26">
        <v>0</v>
      </c>
      <c r="Q127" s="26"/>
      <c r="R127" s="26"/>
      <c r="S127" s="29" t="s">
        <v>37</v>
      </c>
      <c r="T127" s="29" t="s">
        <v>38</v>
      </c>
      <c r="U127" s="29" t="s">
        <v>51</v>
      </c>
      <c r="V127" s="29" t="s">
        <v>382</v>
      </c>
      <c r="W127" s="29" t="s">
        <v>170</v>
      </c>
      <c r="X127" s="29" t="s">
        <v>41</v>
      </c>
      <c r="Y127" s="29" t="s">
        <v>42</v>
      </c>
      <c r="Z127" s="30" t="s">
        <v>171</v>
      </c>
      <c r="AA127" s="39" t="s">
        <v>44</v>
      </c>
    </row>
    <row r="128" spans="1:27" ht="42.75" customHeight="1" x14ac:dyDescent="0.25">
      <c r="A128" s="17" t="s">
        <v>378</v>
      </c>
      <c r="B128" s="18">
        <v>78181702</v>
      </c>
      <c r="C128" s="19" t="s">
        <v>383</v>
      </c>
      <c r="D128" s="33"/>
      <c r="E128" s="20">
        <v>44078</v>
      </c>
      <c r="F128" s="21" t="s">
        <v>194</v>
      </c>
      <c r="G128" s="21" t="s">
        <v>217</v>
      </c>
      <c r="H128" s="35">
        <v>19</v>
      </c>
      <c r="I128" s="23" t="s">
        <v>33</v>
      </c>
      <c r="J128" s="24" t="s">
        <v>173</v>
      </c>
      <c r="K128" s="24" t="s">
        <v>380</v>
      </c>
      <c r="L128" s="41" t="s">
        <v>384</v>
      </c>
      <c r="M128" s="26">
        <f>+N128+Q128+R128</f>
        <v>128867563</v>
      </c>
      <c r="N128" s="26">
        <f t="shared" si="2"/>
        <v>7491733</v>
      </c>
      <c r="O128" s="26">
        <v>7491733</v>
      </c>
      <c r="P128" s="26"/>
      <c r="Q128" s="26">
        <v>79590708</v>
      </c>
      <c r="R128" s="26">
        <v>41785122</v>
      </c>
      <c r="S128" s="29" t="s">
        <v>117</v>
      </c>
      <c r="T128" s="29" t="s">
        <v>174</v>
      </c>
      <c r="U128" s="29"/>
      <c r="V128" s="29" t="s">
        <v>382</v>
      </c>
      <c r="W128" s="29" t="s">
        <v>170</v>
      </c>
      <c r="X128" s="29" t="s">
        <v>41</v>
      </c>
      <c r="Y128" s="29" t="s">
        <v>42</v>
      </c>
      <c r="Z128" s="30" t="s">
        <v>184</v>
      </c>
      <c r="AA128" s="39" t="s">
        <v>44</v>
      </c>
    </row>
    <row r="129" spans="1:27" ht="42.75" customHeight="1" x14ac:dyDescent="0.25">
      <c r="A129" s="17" t="s">
        <v>378</v>
      </c>
      <c r="B129" s="18">
        <v>78181702</v>
      </c>
      <c r="C129" s="19" t="s">
        <v>385</v>
      </c>
      <c r="D129" s="33"/>
      <c r="E129" s="20">
        <v>44078</v>
      </c>
      <c r="F129" s="21"/>
      <c r="G129" s="21"/>
      <c r="H129" s="35"/>
      <c r="I129" s="23"/>
      <c r="J129" s="24"/>
      <c r="K129" s="24" t="s">
        <v>380</v>
      </c>
      <c r="L129" s="41" t="s">
        <v>384</v>
      </c>
      <c r="M129" s="26">
        <f>+N129+Q129+R129</f>
        <v>383267</v>
      </c>
      <c r="N129" s="26">
        <f t="shared" si="2"/>
        <v>383267</v>
      </c>
      <c r="O129" s="26">
        <v>383267</v>
      </c>
      <c r="P129" s="26"/>
      <c r="Q129" s="26"/>
      <c r="R129" s="26"/>
      <c r="S129" s="29" t="s">
        <v>37</v>
      </c>
      <c r="T129" s="29" t="s">
        <v>38</v>
      </c>
      <c r="U129" s="29" t="s">
        <v>46</v>
      </c>
      <c r="V129" s="29" t="s">
        <v>382</v>
      </c>
      <c r="W129" s="29" t="s">
        <v>170</v>
      </c>
      <c r="X129" s="29" t="s">
        <v>41</v>
      </c>
      <c r="Y129" s="29" t="s">
        <v>42</v>
      </c>
      <c r="Z129" s="30" t="s">
        <v>184</v>
      </c>
      <c r="AA129" s="39" t="s">
        <v>44</v>
      </c>
    </row>
    <row r="130" spans="1:27" ht="42" customHeight="1" x14ac:dyDescent="0.25">
      <c r="A130" s="17" t="s">
        <v>378</v>
      </c>
      <c r="B130" s="18" t="s">
        <v>386</v>
      </c>
      <c r="C130" s="19" t="s">
        <v>387</v>
      </c>
      <c r="D130" s="33">
        <v>44165</v>
      </c>
      <c r="E130" s="20">
        <v>44078</v>
      </c>
      <c r="F130" s="21" t="s">
        <v>194</v>
      </c>
      <c r="G130" s="21" t="s">
        <v>217</v>
      </c>
      <c r="H130" s="35">
        <v>11</v>
      </c>
      <c r="I130" s="23" t="s">
        <v>33</v>
      </c>
      <c r="J130" s="24" t="s">
        <v>49</v>
      </c>
      <c r="K130" s="24" t="s">
        <v>388</v>
      </c>
      <c r="L130" s="41" t="s">
        <v>389</v>
      </c>
      <c r="M130" s="26">
        <f t="shared" si="3"/>
        <v>182770743</v>
      </c>
      <c r="N130" s="26">
        <f t="shared" si="2"/>
        <v>182770743</v>
      </c>
      <c r="O130" s="26">
        <f>164770743+18000000</f>
        <v>182770743</v>
      </c>
      <c r="P130" s="26">
        <v>0</v>
      </c>
      <c r="Q130" s="26"/>
      <c r="R130" s="26"/>
      <c r="S130" s="29" t="s">
        <v>37</v>
      </c>
      <c r="T130" s="29" t="s">
        <v>38</v>
      </c>
      <c r="U130" s="29" t="s">
        <v>51</v>
      </c>
      <c r="V130" s="29" t="s">
        <v>382</v>
      </c>
      <c r="W130" s="29" t="s">
        <v>170</v>
      </c>
      <c r="X130" s="29" t="s">
        <v>41</v>
      </c>
      <c r="Y130" s="29" t="s">
        <v>42</v>
      </c>
      <c r="Z130" s="30" t="s">
        <v>171</v>
      </c>
      <c r="AA130" s="39" t="s">
        <v>44</v>
      </c>
    </row>
    <row r="131" spans="1:27" ht="42" customHeight="1" x14ac:dyDescent="0.25">
      <c r="A131" s="17" t="s">
        <v>378</v>
      </c>
      <c r="B131" s="18" t="s">
        <v>390</v>
      </c>
      <c r="C131" s="19" t="s">
        <v>391</v>
      </c>
      <c r="D131" s="33"/>
      <c r="E131" s="20">
        <v>44078</v>
      </c>
      <c r="F131" s="21" t="s">
        <v>194</v>
      </c>
      <c r="G131" s="21" t="s">
        <v>217</v>
      </c>
      <c r="H131" s="35">
        <v>20</v>
      </c>
      <c r="I131" s="23" t="s">
        <v>33</v>
      </c>
      <c r="J131" s="24" t="s">
        <v>144</v>
      </c>
      <c r="K131" s="24" t="s">
        <v>388</v>
      </c>
      <c r="L131" s="41" t="s">
        <v>392</v>
      </c>
      <c r="M131" s="26">
        <f>+N131+Q131+R131</f>
        <v>604860229</v>
      </c>
      <c r="N131" s="26">
        <f t="shared" si="2"/>
        <v>28373882</v>
      </c>
      <c r="O131" s="26">
        <f>18252544+10121338</f>
        <v>28373882</v>
      </c>
      <c r="P131" s="26"/>
      <c r="Q131" s="26">
        <f>340000000+17510912</f>
        <v>357510912</v>
      </c>
      <c r="R131" s="26">
        <f>212000000+6975435</f>
        <v>218975435</v>
      </c>
      <c r="S131" s="29" t="s">
        <v>279</v>
      </c>
      <c r="T131" s="29" t="s">
        <v>174</v>
      </c>
      <c r="U131" s="29"/>
      <c r="V131" s="29" t="s">
        <v>382</v>
      </c>
      <c r="W131" s="29" t="s">
        <v>170</v>
      </c>
      <c r="X131" s="29" t="s">
        <v>41</v>
      </c>
      <c r="Y131" s="29" t="s">
        <v>42</v>
      </c>
      <c r="Z131" s="30" t="s">
        <v>184</v>
      </c>
      <c r="AA131" s="39" t="s">
        <v>44</v>
      </c>
    </row>
    <row r="132" spans="1:27" ht="42" customHeight="1" x14ac:dyDescent="0.25">
      <c r="A132" s="17" t="s">
        <v>378</v>
      </c>
      <c r="B132" s="18" t="s">
        <v>393</v>
      </c>
      <c r="C132" s="19" t="s">
        <v>394</v>
      </c>
      <c r="D132" s="33">
        <v>44165</v>
      </c>
      <c r="E132" s="20"/>
      <c r="F132" s="21"/>
      <c r="G132" s="21"/>
      <c r="H132" s="35">
        <v>11</v>
      </c>
      <c r="I132" s="23" t="s">
        <v>33</v>
      </c>
      <c r="J132" s="24" t="s">
        <v>49</v>
      </c>
      <c r="K132" s="24" t="s">
        <v>395</v>
      </c>
      <c r="L132" s="41" t="s">
        <v>396</v>
      </c>
      <c r="M132" s="26">
        <f t="shared" si="3"/>
        <v>137765002.3545455</v>
      </c>
      <c r="N132" s="26">
        <f t="shared" si="2"/>
        <v>137765002.3545455</v>
      </c>
      <c r="O132" s="26">
        <f>150915298-13150295.6454545</f>
        <v>137765002.3545455</v>
      </c>
      <c r="P132" s="26">
        <v>0</v>
      </c>
      <c r="Q132" s="26"/>
      <c r="R132" s="26"/>
      <c r="S132" s="29" t="s">
        <v>37</v>
      </c>
      <c r="T132" s="29" t="s">
        <v>38</v>
      </c>
      <c r="U132" s="29" t="s">
        <v>51</v>
      </c>
      <c r="V132" s="29" t="s">
        <v>382</v>
      </c>
      <c r="W132" s="29" t="s">
        <v>170</v>
      </c>
      <c r="X132" s="29" t="s">
        <v>41</v>
      </c>
      <c r="Y132" s="29" t="s">
        <v>42</v>
      </c>
      <c r="Z132" s="30" t="s">
        <v>171</v>
      </c>
      <c r="AA132" s="39" t="s">
        <v>44</v>
      </c>
    </row>
    <row r="133" spans="1:27" ht="42" customHeight="1" x14ac:dyDescent="0.25">
      <c r="A133" s="17" t="s">
        <v>378</v>
      </c>
      <c r="B133" s="18" t="s">
        <v>397</v>
      </c>
      <c r="C133" s="19" t="s">
        <v>398</v>
      </c>
      <c r="D133" s="33"/>
      <c r="E133" s="20">
        <v>44070</v>
      </c>
      <c r="F133" s="21" t="s">
        <v>160</v>
      </c>
      <c r="G133" s="21" t="s">
        <v>194</v>
      </c>
      <c r="H133" s="35">
        <v>20</v>
      </c>
      <c r="I133" s="23" t="s">
        <v>33</v>
      </c>
      <c r="J133" s="24" t="s">
        <v>70</v>
      </c>
      <c r="K133" s="24" t="s">
        <v>399</v>
      </c>
      <c r="L133" s="41" t="s">
        <v>400</v>
      </c>
      <c r="M133" s="26">
        <f>+N133+Q133+R133</f>
        <v>246403668.2954545</v>
      </c>
      <c r="N133" s="26">
        <f t="shared" si="2"/>
        <v>13150295.6454545</v>
      </c>
      <c r="O133" s="26">
        <v>13150295.6454545</v>
      </c>
      <c r="P133" s="26"/>
      <c r="Q133" s="26">
        <f>151997268-7344015</f>
        <v>144653253</v>
      </c>
      <c r="R133" s="26">
        <f>93098326.65-4498207</f>
        <v>88600119.650000006</v>
      </c>
      <c r="S133" s="29" t="s">
        <v>279</v>
      </c>
      <c r="T133" s="29" t="s">
        <v>174</v>
      </c>
      <c r="U133" s="29" t="s">
        <v>51</v>
      </c>
      <c r="V133" s="29" t="s">
        <v>382</v>
      </c>
      <c r="W133" s="29" t="s">
        <v>170</v>
      </c>
      <c r="X133" s="29" t="s">
        <v>41</v>
      </c>
      <c r="Y133" s="29" t="s">
        <v>42</v>
      </c>
      <c r="Z133" s="30" t="s">
        <v>184</v>
      </c>
      <c r="AA133" s="39" t="s">
        <v>44</v>
      </c>
    </row>
    <row r="134" spans="1:27" ht="57" customHeight="1" x14ac:dyDescent="0.25">
      <c r="A134" s="17" t="s">
        <v>378</v>
      </c>
      <c r="B134" s="18" t="s">
        <v>401</v>
      </c>
      <c r="C134" s="19" t="s">
        <v>402</v>
      </c>
      <c r="D134" s="33">
        <v>44135</v>
      </c>
      <c r="E134" s="20">
        <v>44022</v>
      </c>
      <c r="F134" s="21" t="s">
        <v>160</v>
      </c>
      <c r="G134" s="21" t="s">
        <v>194</v>
      </c>
      <c r="H134" s="35">
        <v>10</v>
      </c>
      <c r="I134" s="23" t="s">
        <v>33</v>
      </c>
      <c r="J134" s="24" t="s">
        <v>49</v>
      </c>
      <c r="K134" s="24" t="s">
        <v>403</v>
      </c>
      <c r="L134" s="41" t="s">
        <v>404</v>
      </c>
      <c r="M134" s="26">
        <f t="shared" si="3"/>
        <v>669030518</v>
      </c>
      <c r="N134" s="26">
        <f t="shared" ref="N134:N198" si="4">+O134+P134</f>
        <v>669030518</v>
      </c>
      <c r="O134" s="26">
        <f>213543660+362053412</f>
        <v>575597072</v>
      </c>
      <c r="P134" s="26">
        <v>93433446</v>
      </c>
      <c r="Q134" s="26"/>
      <c r="R134" s="26"/>
      <c r="S134" s="29" t="s">
        <v>37</v>
      </c>
      <c r="T134" s="29" t="s">
        <v>38</v>
      </c>
      <c r="U134" s="29" t="s">
        <v>51</v>
      </c>
      <c r="V134" s="29" t="s">
        <v>382</v>
      </c>
      <c r="W134" s="29" t="s">
        <v>170</v>
      </c>
      <c r="X134" s="29" t="s">
        <v>41</v>
      </c>
      <c r="Y134" s="29" t="s">
        <v>42</v>
      </c>
      <c r="Z134" s="30" t="s">
        <v>171</v>
      </c>
      <c r="AA134" s="39" t="s">
        <v>44</v>
      </c>
    </row>
    <row r="135" spans="1:27" ht="42.75" customHeight="1" x14ac:dyDescent="0.25">
      <c r="A135" s="17" t="s">
        <v>378</v>
      </c>
      <c r="B135" s="74" t="s">
        <v>401</v>
      </c>
      <c r="C135" s="75" t="s">
        <v>405</v>
      </c>
      <c r="D135" s="76"/>
      <c r="E135" s="20">
        <v>44022</v>
      </c>
      <c r="F135" s="37" t="s">
        <v>160</v>
      </c>
      <c r="G135" s="34" t="s">
        <v>194</v>
      </c>
      <c r="H135" s="30">
        <v>2</v>
      </c>
      <c r="I135" s="74" t="s">
        <v>33</v>
      </c>
      <c r="J135" s="77" t="s">
        <v>127</v>
      </c>
      <c r="K135" s="74" t="s">
        <v>403</v>
      </c>
      <c r="L135" s="78" t="s">
        <v>404</v>
      </c>
      <c r="M135" s="26">
        <f t="shared" si="3"/>
        <v>1890177030</v>
      </c>
      <c r="N135" s="26">
        <f t="shared" si="4"/>
        <v>89047431</v>
      </c>
      <c r="O135" s="26">
        <f>117301777-50233599</f>
        <v>67068178</v>
      </c>
      <c r="P135" s="26">
        <v>21979253</v>
      </c>
      <c r="Q135" s="26">
        <v>1116979596</v>
      </c>
      <c r="R135" s="26">
        <v>684150003</v>
      </c>
      <c r="S135" s="29" t="s">
        <v>279</v>
      </c>
      <c r="T135" s="29" t="s">
        <v>174</v>
      </c>
      <c r="U135" s="29"/>
      <c r="V135" s="29" t="s">
        <v>382</v>
      </c>
      <c r="W135" s="29" t="s">
        <v>170</v>
      </c>
      <c r="X135" s="29" t="s">
        <v>41</v>
      </c>
      <c r="Y135" s="29" t="s">
        <v>42</v>
      </c>
      <c r="Z135" s="30" t="s">
        <v>171</v>
      </c>
      <c r="AA135" s="79" t="s">
        <v>44</v>
      </c>
    </row>
    <row r="136" spans="1:27" ht="71.25" customHeight="1" x14ac:dyDescent="0.25">
      <c r="A136" s="17" t="s">
        <v>378</v>
      </c>
      <c r="B136" s="18" t="s">
        <v>401</v>
      </c>
      <c r="C136" s="19" t="s">
        <v>406</v>
      </c>
      <c r="D136" s="33">
        <v>44150</v>
      </c>
      <c r="E136" s="20">
        <v>44071</v>
      </c>
      <c r="F136" s="21" t="s">
        <v>160</v>
      </c>
      <c r="G136" s="21" t="s">
        <v>217</v>
      </c>
      <c r="H136" s="35">
        <v>10.5</v>
      </c>
      <c r="I136" s="23" t="s">
        <v>33</v>
      </c>
      <c r="J136" s="24" t="s">
        <v>49</v>
      </c>
      <c r="K136" s="24" t="s">
        <v>403</v>
      </c>
      <c r="L136" s="41" t="s">
        <v>36</v>
      </c>
      <c r="M136" s="26">
        <f t="shared" si="3"/>
        <v>1209406792.7537501</v>
      </c>
      <c r="N136" s="26">
        <f t="shared" si="4"/>
        <v>1209406792.7537501</v>
      </c>
      <c r="O136" s="26">
        <v>1141899414.7537501</v>
      </c>
      <c r="P136" s="26">
        <v>67507378</v>
      </c>
      <c r="Q136" s="26"/>
      <c r="R136" s="26"/>
      <c r="S136" s="29" t="s">
        <v>37</v>
      </c>
      <c r="T136" s="29" t="s">
        <v>38</v>
      </c>
      <c r="U136" s="29" t="s">
        <v>51</v>
      </c>
      <c r="V136" s="29" t="s">
        <v>382</v>
      </c>
      <c r="W136" s="29" t="s">
        <v>170</v>
      </c>
      <c r="X136" s="29" t="s">
        <v>41</v>
      </c>
      <c r="Y136" s="29" t="s">
        <v>42</v>
      </c>
      <c r="Z136" s="30" t="s">
        <v>171</v>
      </c>
      <c r="AA136" s="39" t="s">
        <v>44</v>
      </c>
    </row>
    <row r="137" spans="1:27" ht="111" customHeight="1" x14ac:dyDescent="0.25">
      <c r="A137" s="17" t="s">
        <v>378</v>
      </c>
      <c r="B137" s="74" t="s">
        <v>401</v>
      </c>
      <c r="C137" s="75" t="s">
        <v>407</v>
      </c>
      <c r="D137" s="76"/>
      <c r="E137" s="20">
        <v>44104</v>
      </c>
      <c r="F137" s="37" t="s">
        <v>160</v>
      </c>
      <c r="G137" s="34" t="s">
        <v>194</v>
      </c>
      <c r="H137" s="30">
        <v>45</v>
      </c>
      <c r="I137" s="23" t="s">
        <v>180</v>
      </c>
      <c r="J137" s="77" t="s">
        <v>127</v>
      </c>
      <c r="K137" s="74" t="s">
        <v>403</v>
      </c>
      <c r="L137" s="80" t="s">
        <v>36</v>
      </c>
      <c r="M137" s="26">
        <f t="shared" si="3"/>
        <v>3205734259.5358701</v>
      </c>
      <c r="N137" s="26">
        <f t="shared" si="4"/>
        <v>212184692.53586999</v>
      </c>
      <c r="O137" s="26">
        <f>200389918.53587</f>
        <v>200389918.53586999</v>
      </c>
      <c r="P137" s="26">
        <v>11794774</v>
      </c>
      <c r="Q137" s="26">
        <v>1835730072</v>
      </c>
      <c r="R137" s="26">
        <v>1157819495</v>
      </c>
      <c r="S137" s="29" t="s">
        <v>279</v>
      </c>
      <c r="T137" s="29" t="s">
        <v>174</v>
      </c>
      <c r="U137" s="29"/>
      <c r="V137" s="29" t="s">
        <v>382</v>
      </c>
      <c r="W137" s="29" t="s">
        <v>170</v>
      </c>
      <c r="X137" s="29" t="s">
        <v>41</v>
      </c>
      <c r="Y137" s="29" t="s">
        <v>42</v>
      </c>
      <c r="Z137" s="30" t="s">
        <v>171</v>
      </c>
      <c r="AA137" s="79" t="s">
        <v>44</v>
      </c>
    </row>
    <row r="138" spans="1:27" ht="111" customHeight="1" x14ac:dyDescent="0.25">
      <c r="A138" s="117" t="s">
        <v>378</v>
      </c>
      <c r="B138" s="118" t="s">
        <v>401</v>
      </c>
      <c r="C138" s="119" t="s">
        <v>408</v>
      </c>
      <c r="D138" s="120"/>
      <c r="E138" s="121"/>
      <c r="F138" s="121"/>
      <c r="G138" s="121"/>
      <c r="H138" s="122"/>
      <c r="I138" s="123"/>
      <c r="J138" s="119"/>
      <c r="K138" s="119" t="s">
        <v>403</v>
      </c>
      <c r="L138" s="81" t="s">
        <v>409</v>
      </c>
      <c r="M138" s="26">
        <f t="shared" si="3"/>
        <v>74871827</v>
      </c>
      <c r="N138" s="26">
        <f t="shared" si="4"/>
        <v>74871827</v>
      </c>
      <c r="O138" s="124"/>
      <c r="P138" s="124">
        <v>74871827</v>
      </c>
      <c r="Q138" s="124"/>
      <c r="R138" s="125"/>
      <c r="S138" s="125"/>
      <c r="T138" s="29"/>
      <c r="U138" s="29" t="s">
        <v>46</v>
      </c>
      <c r="V138" s="29" t="s">
        <v>382</v>
      </c>
      <c r="W138" s="29" t="s">
        <v>170</v>
      </c>
      <c r="X138" s="29" t="s">
        <v>41</v>
      </c>
      <c r="Y138" s="29" t="s">
        <v>42</v>
      </c>
      <c r="Z138" s="30" t="s">
        <v>171</v>
      </c>
      <c r="AA138" s="79" t="s">
        <v>44</v>
      </c>
    </row>
    <row r="139" spans="1:27" ht="111" customHeight="1" x14ac:dyDescent="0.25">
      <c r="A139" s="17" t="s">
        <v>378</v>
      </c>
      <c r="B139" s="74" t="s">
        <v>410</v>
      </c>
      <c r="C139" s="75" t="s">
        <v>411</v>
      </c>
      <c r="D139" s="76"/>
      <c r="E139" s="20">
        <v>43868</v>
      </c>
      <c r="F139" s="37" t="s">
        <v>96</v>
      </c>
      <c r="G139" s="34" t="s">
        <v>412</v>
      </c>
      <c r="H139" s="30">
        <v>9</v>
      </c>
      <c r="I139" s="23" t="s">
        <v>33</v>
      </c>
      <c r="J139" s="77" t="s">
        <v>173</v>
      </c>
      <c r="K139" s="74" t="s">
        <v>403</v>
      </c>
      <c r="L139" s="80" t="s">
        <v>36</v>
      </c>
      <c r="M139" s="26">
        <f>+N139+Q139+R139</f>
        <v>239757064</v>
      </c>
      <c r="N139" s="26">
        <f t="shared" si="4"/>
        <v>239757064</v>
      </c>
      <c r="O139" s="26">
        <f>58627461+181129603</f>
        <v>239757064</v>
      </c>
      <c r="P139" s="26"/>
      <c r="Q139" s="26"/>
      <c r="R139" s="26"/>
      <c r="S139" s="29" t="s">
        <v>37</v>
      </c>
      <c r="T139" s="29" t="s">
        <v>38</v>
      </c>
      <c r="U139" s="29" t="s">
        <v>98</v>
      </c>
      <c r="V139" s="29" t="s">
        <v>382</v>
      </c>
      <c r="W139" s="29" t="s">
        <v>170</v>
      </c>
      <c r="X139" s="29" t="s">
        <v>41</v>
      </c>
      <c r="Y139" s="29" t="s">
        <v>42</v>
      </c>
      <c r="Z139" s="30" t="s">
        <v>184</v>
      </c>
      <c r="AA139" s="79" t="s">
        <v>44</v>
      </c>
    </row>
    <row r="140" spans="1:27" ht="111" customHeight="1" x14ac:dyDescent="0.25">
      <c r="A140" s="17" t="s">
        <v>378</v>
      </c>
      <c r="B140" s="74" t="s">
        <v>413</v>
      </c>
      <c r="C140" s="75" t="s">
        <v>414</v>
      </c>
      <c r="D140" s="76"/>
      <c r="E140" s="20"/>
      <c r="F140" s="37"/>
      <c r="G140" s="34"/>
      <c r="H140" s="30"/>
      <c r="I140" s="23"/>
      <c r="J140" s="77"/>
      <c r="K140" s="74" t="s">
        <v>403</v>
      </c>
      <c r="L140" s="80" t="s">
        <v>109</v>
      </c>
      <c r="M140" s="26">
        <f>+N140+Q140+R140</f>
        <v>50866454</v>
      </c>
      <c r="N140" s="26">
        <f t="shared" si="4"/>
        <v>50866454</v>
      </c>
      <c r="O140" s="26">
        <f>290623518-(58627461+181129603)</f>
        <v>50866454</v>
      </c>
      <c r="P140" s="26"/>
      <c r="Q140" s="26"/>
      <c r="R140" s="26"/>
      <c r="S140" s="29"/>
      <c r="T140" s="29"/>
      <c r="U140" s="29" t="s">
        <v>46</v>
      </c>
      <c r="V140" s="29" t="s">
        <v>382</v>
      </c>
      <c r="W140" s="29" t="s">
        <v>170</v>
      </c>
      <c r="X140" s="29" t="s">
        <v>41</v>
      </c>
      <c r="Y140" s="29"/>
      <c r="Z140" s="30"/>
      <c r="AA140" s="79"/>
    </row>
    <row r="141" spans="1:27" ht="42.75" customHeight="1" x14ac:dyDescent="0.25">
      <c r="A141" s="17" t="s">
        <v>378</v>
      </c>
      <c r="B141" s="74">
        <v>80131502</v>
      </c>
      <c r="C141" s="75" t="s">
        <v>415</v>
      </c>
      <c r="D141" s="75"/>
      <c r="E141" s="20">
        <v>44071</v>
      </c>
      <c r="F141" s="82" t="s">
        <v>160</v>
      </c>
      <c r="G141" s="82" t="s">
        <v>217</v>
      </c>
      <c r="H141" s="80">
        <v>12</v>
      </c>
      <c r="I141" s="40" t="s">
        <v>33</v>
      </c>
      <c r="J141" s="75" t="s">
        <v>34</v>
      </c>
      <c r="K141" s="77" t="s">
        <v>416</v>
      </c>
      <c r="L141" s="41" t="s">
        <v>417</v>
      </c>
      <c r="M141" s="26">
        <f t="shared" si="3"/>
        <v>6020537619</v>
      </c>
      <c r="N141" s="26">
        <f t="shared" si="4"/>
        <v>2238253740</v>
      </c>
      <c r="O141" s="26">
        <v>2238253740</v>
      </c>
      <c r="P141" s="26">
        <v>0</v>
      </c>
      <c r="Q141" s="26">
        <v>2350166430</v>
      </c>
      <c r="R141" s="26">
        <v>1432117449</v>
      </c>
      <c r="S141" s="29" t="s">
        <v>117</v>
      </c>
      <c r="T141" s="29" t="s">
        <v>174</v>
      </c>
      <c r="U141" s="29"/>
      <c r="V141" s="29" t="s">
        <v>382</v>
      </c>
      <c r="W141" s="29" t="s">
        <v>170</v>
      </c>
      <c r="X141" s="29" t="s">
        <v>41</v>
      </c>
      <c r="Y141" s="29" t="s">
        <v>42</v>
      </c>
      <c r="Z141" s="30" t="s">
        <v>171</v>
      </c>
      <c r="AA141" s="79" t="s">
        <v>44</v>
      </c>
    </row>
    <row r="142" spans="1:27" ht="57" customHeight="1" x14ac:dyDescent="0.25">
      <c r="A142" s="17" t="s">
        <v>378</v>
      </c>
      <c r="B142" s="18">
        <v>80131502</v>
      </c>
      <c r="C142" s="19" t="s">
        <v>418</v>
      </c>
      <c r="D142" s="33">
        <v>44165</v>
      </c>
      <c r="E142" s="20">
        <v>44071</v>
      </c>
      <c r="F142" s="21" t="s">
        <v>160</v>
      </c>
      <c r="G142" s="21" t="s">
        <v>217</v>
      </c>
      <c r="H142" s="35">
        <v>11.5</v>
      </c>
      <c r="I142" s="23" t="s">
        <v>33</v>
      </c>
      <c r="J142" s="24" t="s">
        <v>49</v>
      </c>
      <c r="K142" s="24" t="s">
        <v>416</v>
      </c>
      <c r="L142" s="41" t="s">
        <v>417</v>
      </c>
      <c r="M142" s="26">
        <f t="shared" si="3"/>
        <v>294434604</v>
      </c>
      <c r="N142" s="26">
        <f t="shared" si="4"/>
        <v>294434604</v>
      </c>
      <c r="O142" s="26">
        <v>294434604</v>
      </c>
      <c r="P142" s="26">
        <v>0</v>
      </c>
      <c r="Q142" s="26"/>
      <c r="R142" s="26"/>
      <c r="S142" s="29" t="s">
        <v>37</v>
      </c>
      <c r="T142" s="29" t="s">
        <v>38</v>
      </c>
      <c r="U142" s="29" t="s">
        <v>51</v>
      </c>
      <c r="V142" s="29" t="s">
        <v>382</v>
      </c>
      <c r="W142" s="29" t="s">
        <v>170</v>
      </c>
      <c r="X142" s="29" t="s">
        <v>41</v>
      </c>
      <c r="Y142" s="29" t="s">
        <v>42</v>
      </c>
      <c r="Z142" s="30" t="s">
        <v>171</v>
      </c>
      <c r="AA142" s="39" t="s">
        <v>44</v>
      </c>
    </row>
    <row r="143" spans="1:27" ht="57" customHeight="1" x14ac:dyDescent="0.25">
      <c r="A143" s="17" t="s">
        <v>378</v>
      </c>
      <c r="B143" s="74">
        <v>80131502</v>
      </c>
      <c r="C143" s="75" t="s">
        <v>419</v>
      </c>
      <c r="D143" s="75"/>
      <c r="E143" s="20">
        <v>44080</v>
      </c>
      <c r="F143" s="82" t="s">
        <v>194</v>
      </c>
      <c r="G143" s="82" t="s">
        <v>217</v>
      </c>
      <c r="H143" s="30">
        <v>20</v>
      </c>
      <c r="I143" s="74" t="s">
        <v>33</v>
      </c>
      <c r="J143" s="77" t="s">
        <v>34</v>
      </c>
      <c r="K143" s="77" t="s">
        <v>416</v>
      </c>
      <c r="L143" s="41" t="s">
        <v>417</v>
      </c>
      <c r="M143" s="26">
        <f t="shared" si="3"/>
        <v>552219586.22220993</v>
      </c>
      <c r="N143" s="26">
        <f t="shared" si="4"/>
        <v>26911286.222209997</v>
      </c>
      <c r="O143" s="26">
        <f>13687875.22221+13223411</f>
        <v>26911286.222209997</v>
      </c>
      <c r="P143" s="26"/>
      <c r="Q143" s="26">
        <f>313381927+14128423</f>
        <v>327510350</v>
      </c>
      <c r="R143" s="26">
        <v>197797950</v>
      </c>
      <c r="S143" s="29" t="s">
        <v>279</v>
      </c>
      <c r="T143" s="29" t="s">
        <v>174</v>
      </c>
      <c r="U143" s="29"/>
      <c r="V143" s="29" t="s">
        <v>382</v>
      </c>
      <c r="W143" s="29" t="s">
        <v>170</v>
      </c>
      <c r="X143" s="29" t="s">
        <v>41</v>
      </c>
      <c r="Y143" s="29" t="s">
        <v>42</v>
      </c>
      <c r="Z143" s="30" t="s">
        <v>171</v>
      </c>
      <c r="AA143" s="79" t="s">
        <v>44</v>
      </c>
    </row>
    <row r="144" spans="1:27" ht="71.25" customHeight="1" x14ac:dyDescent="0.25">
      <c r="A144" s="17" t="s">
        <v>378</v>
      </c>
      <c r="B144" s="18">
        <v>80131502</v>
      </c>
      <c r="C144" s="19" t="s">
        <v>420</v>
      </c>
      <c r="D144" s="33">
        <v>44180</v>
      </c>
      <c r="E144" s="20">
        <v>44071</v>
      </c>
      <c r="F144" s="21" t="s">
        <v>160</v>
      </c>
      <c r="G144" s="21" t="s">
        <v>217</v>
      </c>
      <c r="H144" s="35">
        <v>11.5</v>
      </c>
      <c r="I144" s="23" t="s">
        <v>33</v>
      </c>
      <c r="J144" s="24" t="s">
        <v>49</v>
      </c>
      <c r="K144" s="24" t="s">
        <v>421</v>
      </c>
      <c r="L144" s="41" t="s">
        <v>36</v>
      </c>
      <c r="M144" s="26">
        <f t="shared" si="3"/>
        <v>72622183</v>
      </c>
      <c r="N144" s="26">
        <f t="shared" si="4"/>
        <v>72622183</v>
      </c>
      <c r="O144" s="26">
        <v>0</v>
      </c>
      <c r="P144" s="26">
        <v>72622183</v>
      </c>
      <c r="Q144" s="26"/>
      <c r="R144" s="26"/>
      <c r="S144" s="29" t="s">
        <v>37</v>
      </c>
      <c r="T144" s="29" t="s">
        <v>38</v>
      </c>
      <c r="U144" s="29" t="s">
        <v>51</v>
      </c>
      <c r="V144" s="29" t="s">
        <v>382</v>
      </c>
      <c r="W144" s="29" t="s">
        <v>170</v>
      </c>
      <c r="X144" s="29" t="s">
        <v>41</v>
      </c>
      <c r="Y144" s="29" t="s">
        <v>42</v>
      </c>
      <c r="Z144" s="30" t="s">
        <v>171</v>
      </c>
      <c r="AA144" s="39" t="s">
        <v>44</v>
      </c>
    </row>
    <row r="145" spans="1:27" ht="84" x14ac:dyDescent="0.25">
      <c r="A145" s="17" t="s">
        <v>378</v>
      </c>
      <c r="B145" s="74">
        <v>80131502</v>
      </c>
      <c r="C145" s="75" t="s">
        <v>422</v>
      </c>
      <c r="D145" s="75"/>
      <c r="E145" s="20">
        <v>44071</v>
      </c>
      <c r="F145" s="82" t="s">
        <v>160</v>
      </c>
      <c r="G145" s="82" t="s">
        <v>217</v>
      </c>
      <c r="H145" s="83">
        <v>11.5</v>
      </c>
      <c r="I145" s="74" t="s">
        <v>33</v>
      </c>
      <c r="J145" s="75" t="s">
        <v>34</v>
      </c>
      <c r="K145" s="77" t="s">
        <v>423</v>
      </c>
      <c r="L145" s="41" t="s">
        <v>36</v>
      </c>
      <c r="M145" s="26">
        <f t="shared" si="3"/>
        <v>212369629</v>
      </c>
      <c r="N145" s="26">
        <f t="shared" si="4"/>
        <v>212369629</v>
      </c>
      <c r="O145" s="26">
        <v>0</v>
      </c>
      <c r="P145" s="26">
        <v>212369629</v>
      </c>
      <c r="Q145" s="26"/>
      <c r="R145" s="26"/>
      <c r="S145" s="29" t="s">
        <v>37</v>
      </c>
      <c r="T145" s="29" t="s">
        <v>38</v>
      </c>
      <c r="U145" s="29"/>
      <c r="V145" s="29" t="s">
        <v>382</v>
      </c>
      <c r="W145" s="29" t="s">
        <v>170</v>
      </c>
      <c r="X145" s="29" t="s">
        <v>41</v>
      </c>
      <c r="Y145" s="29" t="s">
        <v>42</v>
      </c>
      <c r="Z145" s="30" t="s">
        <v>171</v>
      </c>
      <c r="AA145" s="79" t="s">
        <v>44</v>
      </c>
    </row>
    <row r="146" spans="1:27" ht="84" x14ac:dyDescent="0.25">
      <c r="A146" s="17" t="s">
        <v>378</v>
      </c>
      <c r="B146" s="74">
        <v>80131502</v>
      </c>
      <c r="C146" s="84" t="s">
        <v>424</v>
      </c>
      <c r="D146" s="84"/>
      <c r="E146" s="20">
        <v>44141</v>
      </c>
      <c r="F146" s="82" t="s">
        <v>425</v>
      </c>
      <c r="G146" s="82" t="s">
        <v>425</v>
      </c>
      <c r="H146" s="30">
        <v>15</v>
      </c>
      <c r="I146" s="74" t="s">
        <v>28</v>
      </c>
      <c r="J146" s="77" t="s">
        <v>127</v>
      </c>
      <c r="K146" s="77" t="s">
        <v>423</v>
      </c>
      <c r="L146" s="41" t="s">
        <v>36</v>
      </c>
      <c r="M146" s="26">
        <f t="shared" si="3"/>
        <v>2500000</v>
      </c>
      <c r="N146" s="26">
        <f t="shared" si="4"/>
        <v>2500000</v>
      </c>
      <c r="O146" s="26">
        <v>0</v>
      </c>
      <c r="P146" s="26">
        <v>2500000</v>
      </c>
      <c r="Q146" s="26"/>
      <c r="R146" s="26"/>
      <c r="S146" s="29" t="s">
        <v>37</v>
      </c>
      <c r="T146" s="29" t="s">
        <v>38</v>
      </c>
      <c r="U146" s="29"/>
      <c r="V146" s="29" t="s">
        <v>382</v>
      </c>
      <c r="W146" s="29" t="s">
        <v>170</v>
      </c>
      <c r="X146" s="29" t="s">
        <v>41</v>
      </c>
      <c r="Y146" s="29" t="s">
        <v>42</v>
      </c>
      <c r="Z146" s="30" t="s">
        <v>171</v>
      </c>
      <c r="AA146" s="79" t="s">
        <v>44</v>
      </c>
    </row>
    <row r="147" spans="1:27" ht="57" customHeight="1" x14ac:dyDescent="0.25">
      <c r="A147" s="17" t="s">
        <v>378</v>
      </c>
      <c r="B147" s="78">
        <v>80131502</v>
      </c>
      <c r="C147" s="84" t="s">
        <v>426</v>
      </c>
      <c r="D147" s="84"/>
      <c r="E147" s="20">
        <v>44071</v>
      </c>
      <c r="F147" s="82" t="s">
        <v>160</v>
      </c>
      <c r="G147" s="82" t="s">
        <v>217</v>
      </c>
      <c r="H147" s="83">
        <v>11.5</v>
      </c>
      <c r="I147" s="78" t="s">
        <v>33</v>
      </c>
      <c r="J147" s="84" t="s">
        <v>34</v>
      </c>
      <c r="K147" s="85" t="s">
        <v>421</v>
      </c>
      <c r="L147" s="41" t="s">
        <v>36</v>
      </c>
      <c r="M147" s="26">
        <f t="shared" si="3"/>
        <v>49540063</v>
      </c>
      <c r="N147" s="26">
        <f t="shared" si="4"/>
        <v>49540063</v>
      </c>
      <c r="O147" s="26">
        <v>0</v>
      </c>
      <c r="P147" s="26">
        <v>49540063</v>
      </c>
      <c r="Q147" s="26"/>
      <c r="R147" s="26"/>
      <c r="S147" s="29" t="s">
        <v>37</v>
      </c>
      <c r="T147" s="29" t="s">
        <v>38</v>
      </c>
      <c r="U147" s="29"/>
      <c r="V147" s="29" t="s">
        <v>382</v>
      </c>
      <c r="W147" s="29" t="s">
        <v>170</v>
      </c>
      <c r="X147" s="29" t="s">
        <v>41</v>
      </c>
      <c r="Y147" s="29" t="s">
        <v>42</v>
      </c>
      <c r="Z147" s="30" t="s">
        <v>171</v>
      </c>
      <c r="AA147" s="79" t="s">
        <v>44</v>
      </c>
    </row>
    <row r="148" spans="1:27" ht="71.25" customHeight="1" x14ac:dyDescent="0.25">
      <c r="A148" s="17" t="s">
        <v>378</v>
      </c>
      <c r="B148" s="74">
        <v>80131502</v>
      </c>
      <c r="C148" s="75" t="s">
        <v>427</v>
      </c>
      <c r="D148" s="75"/>
      <c r="E148" s="20">
        <v>44071</v>
      </c>
      <c r="F148" s="82" t="s">
        <v>160</v>
      </c>
      <c r="G148" s="82" t="s">
        <v>217</v>
      </c>
      <c r="H148" s="83">
        <v>11.5</v>
      </c>
      <c r="I148" s="74" t="s">
        <v>33</v>
      </c>
      <c r="J148" s="75" t="s">
        <v>34</v>
      </c>
      <c r="K148" s="77" t="s">
        <v>421</v>
      </c>
      <c r="L148" s="41" t="s">
        <v>36</v>
      </c>
      <c r="M148" s="26">
        <f t="shared" si="3"/>
        <v>55200000</v>
      </c>
      <c r="N148" s="26">
        <f t="shared" si="4"/>
        <v>55200000</v>
      </c>
      <c r="O148" s="26"/>
      <c r="P148" s="26">
        <v>55200000</v>
      </c>
      <c r="Q148" s="26"/>
      <c r="R148" s="26"/>
      <c r="S148" s="29" t="s">
        <v>37</v>
      </c>
      <c r="T148" s="29" t="s">
        <v>38</v>
      </c>
      <c r="U148" s="29"/>
      <c r="V148" s="29" t="s">
        <v>382</v>
      </c>
      <c r="W148" s="29" t="s">
        <v>170</v>
      </c>
      <c r="X148" s="29" t="s">
        <v>41</v>
      </c>
      <c r="Y148" s="29" t="s">
        <v>42</v>
      </c>
      <c r="Z148" s="30" t="s">
        <v>171</v>
      </c>
      <c r="AA148" s="79" t="s">
        <v>44</v>
      </c>
    </row>
    <row r="149" spans="1:27" ht="57" customHeight="1" x14ac:dyDescent="0.25">
      <c r="A149" s="17" t="s">
        <v>378</v>
      </c>
      <c r="B149" s="74">
        <v>80131502</v>
      </c>
      <c r="C149" s="75" t="s">
        <v>428</v>
      </c>
      <c r="D149" s="75"/>
      <c r="E149" s="20">
        <v>44071</v>
      </c>
      <c r="F149" s="82" t="s">
        <v>160</v>
      </c>
      <c r="G149" s="82" t="s">
        <v>217</v>
      </c>
      <c r="H149" s="83">
        <v>11.5</v>
      </c>
      <c r="I149" s="74" t="s">
        <v>33</v>
      </c>
      <c r="J149" s="75" t="s">
        <v>34</v>
      </c>
      <c r="K149" s="77" t="s">
        <v>421</v>
      </c>
      <c r="L149" s="41" t="s">
        <v>36</v>
      </c>
      <c r="M149" s="26">
        <f t="shared" si="3"/>
        <v>61889285</v>
      </c>
      <c r="N149" s="26">
        <f t="shared" si="4"/>
        <v>61889285</v>
      </c>
      <c r="O149" s="26">
        <v>0</v>
      </c>
      <c r="P149" s="26">
        <v>61889285</v>
      </c>
      <c r="Q149" s="26"/>
      <c r="R149" s="26"/>
      <c r="S149" s="29" t="s">
        <v>37</v>
      </c>
      <c r="T149" s="29" t="s">
        <v>38</v>
      </c>
      <c r="U149" s="29"/>
      <c r="V149" s="29" t="s">
        <v>382</v>
      </c>
      <c r="W149" s="29" t="s">
        <v>170</v>
      </c>
      <c r="X149" s="29" t="s">
        <v>41</v>
      </c>
      <c r="Y149" s="29" t="s">
        <v>42</v>
      </c>
      <c r="Z149" s="30" t="s">
        <v>171</v>
      </c>
      <c r="AA149" s="79" t="s">
        <v>44</v>
      </c>
    </row>
    <row r="150" spans="1:27" ht="57" customHeight="1" x14ac:dyDescent="0.25">
      <c r="A150" s="17" t="s">
        <v>378</v>
      </c>
      <c r="B150" s="74">
        <v>80131502</v>
      </c>
      <c r="C150" s="84" t="s">
        <v>429</v>
      </c>
      <c r="D150" s="84"/>
      <c r="E150" s="20">
        <v>44071</v>
      </c>
      <c r="F150" s="82" t="s">
        <v>160</v>
      </c>
      <c r="G150" s="82" t="s">
        <v>217</v>
      </c>
      <c r="H150" s="83">
        <v>11.5</v>
      </c>
      <c r="I150" s="74" t="s">
        <v>33</v>
      </c>
      <c r="J150" s="75" t="s">
        <v>34</v>
      </c>
      <c r="K150" s="77" t="s">
        <v>421</v>
      </c>
      <c r="L150" s="41" t="s">
        <v>36</v>
      </c>
      <c r="M150" s="26">
        <f t="shared" si="3"/>
        <v>101877600</v>
      </c>
      <c r="N150" s="26">
        <f t="shared" si="4"/>
        <v>101877600</v>
      </c>
      <c r="O150" s="26">
        <v>0</v>
      </c>
      <c r="P150" s="26">
        <v>101877600</v>
      </c>
      <c r="Q150" s="26"/>
      <c r="R150" s="26"/>
      <c r="S150" s="29" t="s">
        <v>37</v>
      </c>
      <c r="T150" s="29" t="s">
        <v>38</v>
      </c>
      <c r="U150" s="29"/>
      <c r="V150" s="29" t="s">
        <v>382</v>
      </c>
      <c r="W150" s="29" t="s">
        <v>170</v>
      </c>
      <c r="X150" s="29" t="s">
        <v>41</v>
      </c>
      <c r="Y150" s="29" t="s">
        <v>42</v>
      </c>
      <c r="Z150" s="30" t="s">
        <v>171</v>
      </c>
      <c r="AA150" s="79" t="s">
        <v>44</v>
      </c>
    </row>
    <row r="151" spans="1:27" ht="42.75" customHeight="1" x14ac:dyDescent="0.25">
      <c r="A151" s="17" t="s">
        <v>378</v>
      </c>
      <c r="B151" s="74">
        <v>80131502</v>
      </c>
      <c r="C151" s="84" t="s">
        <v>430</v>
      </c>
      <c r="D151" s="84"/>
      <c r="E151" s="20">
        <v>44071</v>
      </c>
      <c r="F151" s="82" t="s">
        <v>160</v>
      </c>
      <c r="G151" s="82" t="s">
        <v>217</v>
      </c>
      <c r="H151" s="83">
        <v>11</v>
      </c>
      <c r="I151" s="74" t="s">
        <v>33</v>
      </c>
      <c r="J151" s="75" t="s">
        <v>34</v>
      </c>
      <c r="K151" s="77" t="s">
        <v>421</v>
      </c>
      <c r="L151" s="41" t="s">
        <v>36</v>
      </c>
      <c r="M151" s="26">
        <f t="shared" si="3"/>
        <v>38133334</v>
      </c>
      <c r="N151" s="26">
        <f t="shared" si="4"/>
        <v>38133334</v>
      </c>
      <c r="O151" s="26">
        <v>0</v>
      </c>
      <c r="P151" s="26">
        <f>33000000+7000000- 1866666</f>
        <v>38133334</v>
      </c>
      <c r="Q151" s="26"/>
      <c r="R151" s="26"/>
      <c r="S151" s="29" t="s">
        <v>37</v>
      </c>
      <c r="T151" s="29" t="s">
        <v>38</v>
      </c>
      <c r="U151" s="29" t="s">
        <v>98</v>
      </c>
      <c r="V151" s="29" t="s">
        <v>382</v>
      </c>
      <c r="W151" s="29" t="s">
        <v>170</v>
      </c>
      <c r="X151" s="29" t="s">
        <v>41</v>
      </c>
      <c r="Y151" s="29" t="s">
        <v>42</v>
      </c>
      <c r="Z151" s="30" t="s">
        <v>171</v>
      </c>
      <c r="AA151" s="79" t="s">
        <v>44</v>
      </c>
    </row>
    <row r="152" spans="1:27" ht="42.75" customHeight="1" x14ac:dyDescent="0.25">
      <c r="A152" s="17" t="s">
        <v>378</v>
      </c>
      <c r="B152" s="74">
        <v>80131503</v>
      </c>
      <c r="C152" s="84" t="s">
        <v>431</v>
      </c>
      <c r="D152" s="84"/>
      <c r="E152" s="20">
        <v>44072</v>
      </c>
      <c r="F152" s="82" t="s">
        <v>160</v>
      </c>
      <c r="G152" s="82" t="s">
        <v>217</v>
      </c>
      <c r="H152" s="83">
        <v>12</v>
      </c>
      <c r="I152" s="74" t="s">
        <v>33</v>
      </c>
      <c r="J152" s="75" t="s">
        <v>34</v>
      </c>
      <c r="K152" s="77" t="s">
        <v>421</v>
      </c>
      <c r="L152" s="41" t="s">
        <v>109</v>
      </c>
      <c r="M152" s="26">
        <f>+N152+Q152+R152</f>
        <v>1866667</v>
      </c>
      <c r="N152" s="26">
        <f t="shared" si="4"/>
        <v>1866667</v>
      </c>
      <c r="O152" s="26">
        <v>1</v>
      </c>
      <c r="P152" s="26">
        <f>33000000+7000000-38133334</f>
        <v>1866666</v>
      </c>
      <c r="Q152" s="26"/>
      <c r="R152" s="26"/>
      <c r="S152" s="29" t="s">
        <v>37</v>
      </c>
      <c r="T152" s="29" t="s">
        <v>38</v>
      </c>
      <c r="U152" s="29" t="s">
        <v>46</v>
      </c>
      <c r="V152" s="29" t="s">
        <v>382</v>
      </c>
      <c r="W152" s="29" t="s">
        <v>170</v>
      </c>
      <c r="X152" s="29" t="s">
        <v>41</v>
      </c>
      <c r="Y152" s="29" t="s">
        <v>42</v>
      </c>
      <c r="Z152" s="30" t="s">
        <v>184</v>
      </c>
      <c r="AA152" s="79" t="s">
        <v>44</v>
      </c>
    </row>
    <row r="153" spans="1:27" ht="57" customHeight="1" x14ac:dyDescent="0.25">
      <c r="A153" s="17" t="s">
        <v>378</v>
      </c>
      <c r="B153" s="74">
        <v>80131502</v>
      </c>
      <c r="C153" s="75" t="s">
        <v>432</v>
      </c>
      <c r="D153" s="75"/>
      <c r="E153" s="20">
        <v>44071</v>
      </c>
      <c r="F153" s="82" t="s">
        <v>160</v>
      </c>
      <c r="G153" s="82" t="s">
        <v>217</v>
      </c>
      <c r="H153" s="83">
        <v>11.5</v>
      </c>
      <c r="I153" s="74" t="s">
        <v>33</v>
      </c>
      <c r="J153" s="75" t="s">
        <v>34</v>
      </c>
      <c r="K153" s="77" t="s">
        <v>421</v>
      </c>
      <c r="L153" s="41" t="s">
        <v>36</v>
      </c>
      <c r="M153" s="26">
        <f t="shared" si="3"/>
        <v>51320044</v>
      </c>
      <c r="N153" s="26">
        <f t="shared" si="4"/>
        <v>51320044</v>
      </c>
      <c r="O153" s="27">
        <v>51320044</v>
      </c>
      <c r="P153" s="26">
        <v>0</v>
      </c>
      <c r="Q153" s="26"/>
      <c r="R153" s="26"/>
      <c r="S153" s="29" t="s">
        <v>37</v>
      </c>
      <c r="T153" s="29" t="s">
        <v>38</v>
      </c>
      <c r="U153" s="29"/>
      <c r="V153" s="29" t="s">
        <v>382</v>
      </c>
      <c r="W153" s="29" t="s">
        <v>170</v>
      </c>
      <c r="X153" s="29" t="s">
        <v>41</v>
      </c>
      <c r="Y153" s="29" t="s">
        <v>42</v>
      </c>
      <c r="Z153" s="30" t="s">
        <v>171</v>
      </c>
      <c r="AA153" s="79" t="s">
        <v>44</v>
      </c>
    </row>
    <row r="154" spans="1:27" ht="57" customHeight="1" x14ac:dyDescent="0.25">
      <c r="A154" s="17" t="s">
        <v>378</v>
      </c>
      <c r="B154" s="74">
        <v>80131502</v>
      </c>
      <c r="C154" s="75" t="s">
        <v>433</v>
      </c>
      <c r="D154" s="75"/>
      <c r="E154" s="20">
        <v>44071</v>
      </c>
      <c r="F154" s="82" t="s">
        <v>160</v>
      </c>
      <c r="G154" s="82" t="s">
        <v>217</v>
      </c>
      <c r="H154" s="83">
        <v>11.5</v>
      </c>
      <c r="I154" s="74" t="s">
        <v>33</v>
      </c>
      <c r="J154" s="75" t="s">
        <v>34</v>
      </c>
      <c r="K154" s="77" t="s">
        <v>421</v>
      </c>
      <c r="L154" s="41" t="s">
        <v>36</v>
      </c>
      <c r="M154" s="26">
        <f t="shared" si="3"/>
        <v>83159117</v>
      </c>
      <c r="N154" s="26">
        <f t="shared" si="4"/>
        <v>83159117</v>
      </c>
      <c r="O154" s="26">
        <v>83159117</v>
      </c>
      <c r="P154" s="26">
        <v>0</v>
      </c>
      <c r="Q154" s="26"/>
      <c r="R154" s="26"/>
      <c r="S154" s="29" t="s">
        <v>37</v>
      </c>
      <c r="T154" s="29" t="s">
        <v>38</v>
      </c>
      <c r="U154" s="29"/>
      <c r="V154" s="29" t="s">
        <v>382</v>
      </c>
      <c r="W154" s="29" t="s">
        <v>170</v>
      </c>
      <c r="X154" s="29" t="s">
        <v>41</v>
      </c>
      <c r="Y154" s="29" t="s">
        <v>42</v>
      </c>
      <c r="Z154" s="30" t="s">
        <v>171</v>
      </c>
      <c r="AA154" s="79" t="s">
        <v>44</v>
      </c>
    </row>
    <row r="155" spans="1:27" ht="57" customHeight="1" x14ac:dyDescent="0.25">
      <c r="A155" s="17" t="s">
        <v>378</v>
      </c>
      <c r="B155" s="74">
        <v>80131502</v>
      </c>
      <c r="C155" s="75" t="s">
        <v>434</v>
      </c>
      <c r="D155" s="75"/>
      <c r="E155" s="20">
        <v>44071</v>
      </c>
      <c r="F155" s="82" t="s">
        <v>160</v>
      </c>
      <c r="G155" s="82" t="s">
        <v>217</v>
      </c>
      <c r="H155" s="83">
        <v>11.5</v>
      </c>
      <c r="I155" s="74" t="s">
        <v>33</v>
      </c>
      <c r="J155" s="75" t="s">
        <v>34</v>
      </c>
      <c r="K155" s="77" t="s">
        <v>421</v>
      </c>
      <c r="L155" s="41" t="s">
        <v>36</v>
      </c>
      <c r="M155" s="26">
        <f t="shared" si="3"/>
        <v>117250000</v>
      </c>
      <c r="N155" s="26">
        <f t="shared" si="4"/>
        <v>117250000</v>
      </c>
      <c r="O155" s="26">
        <v>117250000</v>
      </c>
      <c r="P155" s="26">
        <v>0</v>
      </c>
      <c r="Q155" s="26"/>
      <c r="R155" s="26"/>
      <c r="S155" s="29" t="s">
        <v>37</v>
      </c>
      <c r="T155" s="29" t="s">
        <v>38</v>
      </c>
      <c r="U155" s="29"/>
      <c r="V155" s="29" t="s">
        <v>382</v>
      </c>
      <c r="W155" s="29" t="s">
        <v>170</v>
      </c>
      <c r="X155" s="29" t="s">
        <v>41</v>
      </c>
      <c r="Y155" s="29" t="s">
        <v>42</v>
      </c>
      <c r="Z155" s="30" t="s">
        <v>171</v>
      </c>
      <c r="AA155" s="79" t="s">
        <v>44</v>
      </c>
    </row>
    <row r="156" spans="1:27" ht="57" customHeight="1" x14ac:dyDescent="0.25">
      <c r="A156" s="17" t="s">
        <v>378</v>
      </c>
      <c r="B156" s="74">
        <v>80131502</v>
      </c>
      <c r="C156" s="75" t="s">
        <v>435</v>
      </c>
      <c r="D156" s="75"/>
      <c r="E156" s="20">
        <v>44071</v>
      </c>
      <c r="F156" s="82" t="s">
        <v>160</v>
      </c>
      <c r="G156" s="82" t="s">
        <v>217</v>
      </c>
      <c r="H156" s="83">
        <v>11.5</v>
      </c>
      <c r="I156" s="74" t="s">
        <v>33</v>
      </c>
      <c r="J156" s="75" t="s">
        <v>34</v>
      </c>
      <c r="K156" s="77" t="s">
        <v>421</v>
      </c>
      <c r="L156" s="41" t="s">
        <v>36</v>
      </c>
      <c r="M156" s="26">
        <f t="shared" si="3"/>
        <v>107275625</v>
      </c>
      <c r="N156" s="26">
        <f t="shared" si="4"/>
        <v>107275625</v>
      </c>
      <c r="O156" s="26">
        <v>107275625</v>
      </c>
      <c r="P156" s="26">
        <v>0</v>
      </c>
      <c r="Q156" s="26"/>
      <c r="R156" s="26"/>
      <c r="S156" s="29" t="s">
        <v>37</v>
      </c>
      <c r="T156" s="29" t="s">
        <v>38</v>
      </c>
      <c r="U156" s="29"/>
      <c r="V156" s="29" t="s">
        <v>382</v>
      </c>
      <c r="W156" s="29" t="s">
        <v>170</v>
      </c>
      <c r="X156" s="29" t="s">
        <v>41</v>
      </c>
      <c r="Y156" s="29" t="s">
        <v>42</v>
      </c>
      <c r="Z156" s="30" t="s">
        <v>171</v>
      </c>
      <c r="AA156" s="79" t="s">
        <v>44</v>
      </c>
    </row>
    <row r="157" spans="1:27" ht="57" customHeight="1" x14ac:dyDescent="0.25">
      <c r="A157" s="17" t="s">
        <v>378</v>
      </c>
      <c r="B157" s="74">
        <v>80131502</v>
      </c>
      <c r="C157" s="75" t="s">
        <v>436</v>
      </c>
      <c r="D157" s="75"/>
      <c r="E157" s="20">
        <v>44071</v>
      </c>
      <c r="F157" s="82" t="s">
        <v>160</v>
      </c>
      <c r="G157" s="82" t="s">
        <v>217</v>
      </c>
      <c r="H157" s="83">
        <v>11.5</v>
      </c>
      <c r="I157" s="74" t="s">
        <v>33</v>
      </c>
      <c r="J157" s="75" t="s">
        <v>34</v>
      </c>
      <c r="K157" s="77" t="s">
        <v>421</v>
      </c>
      <c r="L157" s="41" t="s">
        <v>36</v>
      </c>
      <c r="M157" s="26">
        <f t="shared" si="3"/>
        <v>117934740</v>
      </c>
      <c r="N157" s="26">
        <f t="shared" si="4"/>
        <v>117934740</v>
      </c>
      <c r="O157" s="27">
        <v>117934740</v>
      </c>
      <c r="P157" s="26">
        <v>0</v>
      </c>
      <c r="Q157" s="26"/>
      <c r="R157" s="26"/>
      <c r="S157" s="29" t="s">
        <v>37</v>
      </c>
      <c r="T157" s="29" t="s">
        <v>38</v>
      </c>
      <c r="U157" s="29"/>
      <c r="V157" s="29" t="s">
        <v>382</v>
      </c>
      <c r="W157" s="29" t="s">
        <v>170</v>
      </c>
      <c r="X157" s="29" t="s">
        <v>41</v>
      </c>
      <c r="Y157" s="29" t="s">
        <v>42</v>
      </c>
      <c r="Z157" s="30" t="s">
        <v>171</v>
      </c>
      <c r="AA157" s="79" t="s">
        <v>44</v>
      </c>
    </row>
    <row r="158" spans="1:27" ht="57" customHeight="1" x14ac:dyDescent="0.25">
      <c r="A158" s="17" t="s">
        <v>378</v>
      </c>
      <c r="B158" s="74">
        <v>80131502</v>
      </c>
      <c r="C158" s="75" t="s">
        <v>437</v>
      </c>
      <c r="D158" s="75"/>
      <c r="E158" s="20">
        <v>44071</v>
      </c>
      <c r="F158" s="82" t="s">
        <v>160</v>
      </c>
      <c r="G158" s="82" t="s">
        <v>217</v>
      </c>
      <c r="H158" s="83">
        <v>11.5</v>
      </c>
      <c r="I158" s="74" t="s">
        <v>33</v>
      </c>
      <c r="J158" s="75" t="s">
        <v>34</v>
      </c>
      <c r="K158" s="77" t="s">
        <v>421</v>
      </c>
      <c r="L158" s="41" t="s">
        <v>36</v>
      </c>
      <c r="M158" s="26">
        <f t="shared" si="3"/>
        <v>74321844</v>
      </c>
      <c r="N158" s="26">
        <f t="shared" si="4"/>
        <v>74321844</v>
      </c>
      <c r="O158" s="26">
        <v>74321844</v>
      </c>
      <c r="P158" s="26">
        <v>0</v>
      </c>
      <c r="Q158" s="26"/>
      <c r="R158" s="26"/>
      <c r="S158" s="29" t="s">
        <v>37</v>
      </c>
      <c r="T158" s="29" t="s">
        <v>38</v>
      </c>
      <c r="U158" s="29"/>
      <c r="V158" s="29" t="s">
        <v>382</v>
      </c>
      <c r="W158" s="29" t="s">
        <v>170</v>
      </c>
      <c r="X158" s="29" t="s">
        <v>41</v>
      </c>
      <c r="Y158" s="29" t="s">
        <v>42</v>
      </c>
      <c r="Z158" s="30" t="s">
        <v>171</v>
      </c>
      <c r="AA158" s="79" t="s">
        <v>44</v>
      </c>
    </row>
    <row r="159" spans="1:27" ht="57" customHeight="1" x14ac:dyDescent="0.25">
      <c r="A159" s="17" t="s">
        <v>378</v>
      </c>
      <c r="B159" s="74">
        <v>80131502</v>
      </c>
      <c r="C159" s="75" t="s">
        <v>438</v>
      </c>
      <c r="D159" s="75"/>
      <c r="E159" s="20">
        <v>44071</v>
      </c>
      <c r="F159" s="82" t="s">
        <v>160</v>
      </c>
      <c r="G159" s="82" t="s">
        <v>217</v>
      </c>
      <c r="H159" s="83">
        <v>11.5</v>
      </c>
      <c r="I159" s="74" t="s">
        <v>33</v>
      </c>
      <c r="J159" s="75" t="s">
        <v>34</v>
      </c>
      <c r="K159" s="77" t="s">
        <v>421</v>
      </c>
      <c r="L159" s="41" t="s">
        <v>36</v>
      </c>
      <c r="M159" s="26">
        <f t="shared" si="3"/>
        <v>60871791</v>
      </c>
      <c r="N159" s="26">
        <f t="shared" si="4"/>
        <v>60871791</v>
      </c>
      <c r="O159" s="26">
        <v>60871791</v>
      </c>
      <c r="P159" s="26">
        <v>0</v>
      </c>
      <c r="Q159" s="26"/>
      <c r="R159" s="26"/>
      <c r="S159" s="29" t="s">
        <v>37</v>
      </c>
      <c r="T159" s="29" t="s">
        <v>38</v>
      </c>
      <c r="U159" s="29"/>
      <c r="V159" s="29" t="s">
        <v>382</v>
      </c>
      <c r="W159" s="29" t="s">
        <v>170</v>
      </c>
      <c r="X159" s="29" t="s">
        <v>41</v>
      </c>
      <c r="Y159" s="29" t="s">
        <v>42</v>
      </c>
      <c r="Z159" s="30" t="s">
        <v>171</v>
      </c>
      <c r="AA159" s="79" t="s">
        <v>44</v>
      </c>
    </row>
    <row r="160" spans="1:27" ht="57" customHeight="1" x14ac:dyDescent="0.25">
      <c r="A160" s="17" t="s">
        <v>378</v>
      </c>
      <c r="B160" s="74">
        <v>80131502</v>
      </c>
      <c r="C160" s="75" t="s">
        <v>439</v>
      </c>
      <c r="D160" s="75"/>
      <c r="E160" s="20">
        <v>44071</v>
      </c>
      <c r="F160" s="82" t="s">
        <v>160</v>
      </c>
      <c r="G160" s="82" t="s">
        <v>217</v>
      </c>
      <c r="H160" s="83">
        <v>11.5</v>
      </c>
      <c r="I160" s="74" t="s">
        <v>33</v>
      </c>
      <c r="J160" s="75" t="s">
        <v>34</v>
      </c>
      <c r="K160" s="77" t="s">
        <v>421</v>
      </c>
      <c r="L160" s="41" t="s">
        <v>36</v>
      </c>
      <c r="M160" s="26">
        <f t="shared" si="3"/>
        <v>52188900</v>
      </c>
      <c r="N160" s="26">
        <f t="shared" si="4"/>
        <v>52188900</v>
      </c>
      <c r="O160" s="26">
        <v>52188900</v>
      </c>
      <c r="P160" s="26">
        <v>0</v>
      </c>
      <c r="Q160" s="26"/>
      <c r="R160" s="26"/>
      <c r="S160" s="29" t="s">
        <v>37</v>
      </c>
      <c r="T160" s="29" t="s">
        <v>38</v>
      </c>
      <c r="U160" s="29"/>
      <c r="V160" s="29" t="s">
        <v>382</v>
      </c>
      <c r="W160" s="29" t="s">
        <v>170</v>
      </c>
      <c r="X160" s="29" t="s">
        <v>41</v>
      </c>
      <c r="Y160" s="29" t="s">
        <v>42</v>
      </c>
      <c r="Z160" s="30" t="s">
        <v>171</v>
      </c>
      <c r="AA160" s="79" t="s">
        <v>44</v>
      </c>
    </row>
    <row r="161" spans="1:27" ht="57" customHeight="1" x14ac:dyDescent="0.25">
      <c r="A161" s="17" t="s">
        <v>378</v>
      </c>
      <c r="B161" s="74">
        <v>80131502</v>
      </c>
      <c r="C161" s="75" t="s">
        <v>440</v>
      </c>
      <c r="D161" s="75"/>
      <c r="E161" s="20">
        <v>44071</v>
      </c>
      <c r="F161" s="82" t="s">
        <v>160</v>
      </c>
      <c r="G161" s="82" t="s">
        <v>217</v>
      </c>
      <c r="H161" s="83">
        <v>11.5</v>
      </c>
      <c r="I161" s="74" t="s">
        <v>33</v>
      </c>
      <c r="J161" s="75" t="s">
        <v>34</v>
      </c>
      <c r="K161" s="77" t="s">
        <v>421</v>
      </c>
      <c r="L161" s="41" t="s">
        <v>36</v>
      </c>
      <c r="M161" s="26">
        <f t="shared" si="3"/>
        <v>77660721</v>
      </c>
      <c r="N161" s="26">
        <f t="shared" si="4"/>
        <v>77660721</v>
      </c>
      <c r="O161" s="26">
        <v>77660721</v>
      </c>
      <c r="P161" s="26">
        <v>0</v>
      </c>
      <c r="Q161" s="26"/>
      <c r="R161" s="26"/>
      <c r="S161" s="29" t="s">
        <v>37</v>
      </c>
      <c r="T161" s="29" t="s">
        <v>38</v>
      </c>
      <c r="U161" s="29"/>
      <c r="V161" s="29" t="s">
        <v>382</v>
      </c>
      <c r="W161" s="29" t="s">
        <v>170</v>
      </c>
      <c r="X161" s="29" t="s">
        <v>41</v>
      </c>
      <c r="Y161" s="29" t="s">
        <v>42</v>
      </c>
      <c r="Z161" s="30" t="s">
        <v>171</v>
      </c>
      <c r="AA161" s="79" t="s">
        <v>44</v>
      </c>
    </row>
    <row r="162" spans="1:27" ht="42.75" customHeight="1" x14ac:dyDescent="0.25">
      <c r="A162" s="17" t="s">
        <v>378</v>
      </c>
      <c r="B162" s="74">
        <v>80131502</v>
      </c>
      <c r="C162" s="75" t="s">
        <v>441</v>
      </c>
      <c r="D162" s="75"/>
      <c r="E162" s="20">
        <v>44071</v>
      </c>
      <c r="F162" s="82" t="s">
        <v>160</v>
      </c>
      <c r="G162" s="82" t="s">
        <v>217</v>
      </c>
      <c r="H162" s="83">
        <v>11.5</v>
      </c>
      <c r="I162" s="74" t="s">
        <v>33</v>
      </c>
      <c r="J162" s="75" t="s">
        <v>34</v>
      </c>
      <c r="K162" s="77" t="s">
        <v>421</v>
      </c>
      <c r="L162" s="41" t="s">
        <v>36</v>
      </c>
      <c r="M162" s="26">
        <f t="shared" si="3"/>
        <v>46729818</v>
      </c>
      <c r="N162" s="26">
        <f t="shared" si="4"/>
        <v>46729818</v>
      </c>
      <c r="O162" s="27">
        <v>46729818</v>
      </c>
      <c r="P162" s="26">
        <v>0</v>
      </c>
      <c r="Q162" s="26"/>
      <c r="R162" s="26"/>
      <c r="S162" s="29" t="s">
        <v>37</v>
      </c>
      <c r="T162" s="29" t="s">
        <v>38</v>
      </c>
      <c r="U162" s="29"/>
      <c r="V162" s="29" t="s">
        <v>382</v>
      </c>
      <c r="W162" s="29" t="s">
        <v>170</v>
      </c>
      <c r="X162" s="29" t="s">
        <v>41</v>
      </c>
      <c r="Y162" s="29" t="s">
        <v>42</v>
      </c>
      <c r="Z162" s="30" t="s">
        <v>171</v>
      </c>
      <c r="AA162" s="79" t="s">
        <v>44</v>
      </c>
    </row>
    <row r="163" spans="1:27" ht="42.75" customHeight="1" x14ac:dyDescent="0.25">
      <c r="A163" s="17" t="s">
        <v>378</v>
      </c>
      <c r="B163" s="74">
        <v>80131502</v>
      </c>
      <c r="C163" s="75" t="s">
        <v>442</v>
      </c>
      <c r="D163" s="75"/>
      <c r="E163" s="20">
        <v>44071</v>
      </c>
      <c r="F163" s="82" t="s">
        <v>160</v>
      </c>
      <c r="G163" s="82" t="s">
        <v>217</v>
      </c>
      <c r="H163" s="83">
        <v>11.5</v>
      </c>
      <c r="I163" s="74" t="s">
        <v>33</v>
      </c>
      <c r="J163" s="75" t="s">
        <v>34</v>
      </c>
      <c r="K163" s="77" t="s">
        <v>421</v>
      </c>
      <c r="L163" s="41" t="s">
        <v>36</v>
      </c>
      <c r="M163" s="26">
        <f t="shared" si="3"/>
        <v>75352335</v>
      </c>
      <c r="N163" s="26">
        <f t="shared" si="4"/>
        <v>75352335</v>
      </c>
      <c r="O163" s="27">
        <v>75352335</v>
      </c>
      <c r="P163" s="26">
        <v>0</v>
      </c>
      <c r="Q163" s="26"/>
      <c r="R163" s="26"/>
      <c r="S163" s="29" t="s">
        <v>37</v>
      </c>
      <c r="T163" s="29" t="s">
        <v>38</v>
      </c>
      <c r="U163" s="29"/>
      <c r="V163" s="29" t="s">
        <v>382</v>
      </c>
      <c r="W163" s="29" t="s">
        <v>170</v>
      </c>
      <c r="X163" s="29" t="s">
        <v>41</v>
      </c>
      <c r="Y163" s="29" t="s">
        <v>42</v>
      </c>
      <c r="Z163" s="30" t="s">
        <v>171</v>
      </c>
      <c r="AA163" s="79" t="s">
        <v>44</v>
      </c>
    </row>
    <row r="164" spans="1:27" ht="57" customHeight="1" x14ac:dyDescent="0.25">
      <c r="A164" s="17" t="s">
        <v>378</v>
      </c>
      <c r="B164" s="74">
        <v>80131502</v>
      </c>
      <c r="C164" s="75" t="s">
        <v>443</v>
      </c>
      <c r="D164" s="75"/>
      <c r="E164" s="20">
        <v>44071</v>
      </c>
      <c r="F164" s="82" t="s">
        <v>160</v>
      </c>
      <c r="G164" s="82" t="s">
        <v>217</v>
      </c>
      <c r="H164" s="83">
        <v>11.5</v>
      </c>
      <c r="I164" s="74" t="s">
        <v>33</v>
      </c>
      <c r="J164" s="75" t="s">
        <v>34</v>
      </c>
      <c r="K164" s="77" t="s">
        <v>421</v>
      </c>
      <c r="L164" s="41" t="s">
        <v>36</v>
      </c>
      <c r="M164" s="26">
        <f t="shared" si="3"/>
        <v>55320000</v>
      </c>
      <c r="N164" s="26">
        <f t="shared" si="4"/>
        <v>55320000</v>
      </c>
      <c r="O164" s="26">
        <v>55320000</v>
      </c>
      <c r="P164" s="26"/>
      <c r="Q164" s="26"/>
      <c r="R164" s="26"/>
      <c r="S164" s="29" t="s">
        <v>37</v>
      </c>
      <c r="T164" s="29" t="s">
        <v>38</v>
      </c>
      <c r="U164" s="29"/>
      <c r="V164" s="29" t="s">
        <v>382</v>
      </c>
      <c r="W164" s="29" t="s">
        <v>170</v>
      </c>
      <c r="X164" s="29" t="s">
        <v>41</v>
      </c>
      <c r="Y164" s="29" t="s">
        <v>42</v>
      </c>
      <c r="Z164" s="30" t="s">
        <v>171</v>
      </c>
      <c r="AA164" s="79" t="s">
        <v>44</v>
      </c>
    </row>
    <row r="165" spans="1:27" ht="57" customHeight="1" x14ac:dyDescent="0.25">
      <c r="A165" s="17" t="s">
        <v>378</v>
      </c>
      <c r="B165" s="74">
        <v>80131502</v>
      </c>
      <c r="C165" s="75" t="s">
        <v>444</v>
      </c>
      <c r="D165" s="75"/>
      <c r="E165" s="20"/>
      <c r="F165" s="82"/>
      <c r="G165" s="82"/>
      <c r="H165" s="83">
        <v>11.5</v>
      </c>
      <c r="I165" s="74" t="s">
        <v>33</v>
      </c>
      <c r="J165" s="75" t="s">
        <v>34</v>
      </c>
      <c r="K165" s="77" t="s">
        <v>421</v>
      </c>
      <c r="L165" s="41" t="s">
        <v>36</v>
      </c>
      <c r="M165" s="26">
        <f t="shared" ref="M165:M214" si="5">+N165+Q165+R165</f>
        <v>72390332</v>
      </c>
      <c r="N165" s="26">
        <f t="shared" si="4"/>
        <v>72390332</v>
      </c>
      <c r="O165" s="26">
        <v>72390332</v>
      </c>
      <c r="P165" s="26">
        <v>0</v>
      </c>
      <c r="Q165" s="26"/>
      <c r="R165" s="26"/>
      <c r="S165" s="29" t="s">
        <v>37</v>
      </c>
      <c r="T165" s="29" t="s">
        <v>38</v>
      </c>
      <c r="U165" s="29"/>
      <c r="V165" s="29" t="s">
        <v>382</v>
      </c>
      <c r="W165" s="29" t="s">
        <v>170</v>
      </c>
      <c r="X165" s="29" t="s">
        <v>41</v>
      </c>
      <c r="Y165" s="29" t="s">
        <v>42</v>
      </c>
      <c r="Z165" s="30" t="s">
        <v>171</v>
      </c>
      <c r="AA165" s="79" t="s">
        <v>44</v>
      </c>
    </row>
    <row r="166" spans="1:27" ht="57" customHeight="1" x14ac:dyDescent="0.25">
      <c r="A166" s="17" t="s">
        <v>378</v>
      </c>
      <c r="B166" s="74">
        <v>80131502</v>
      </c>
      <c r="C166" s="75" t="s">
        <v>445</v>
      </c>
      <c r="D166" s="75"/>
      <c r="E166" s="20"/>
      <c r="F166" s="82"/>
      <c r="G166" s="82"/>
      <c r="H166" s="83">
        <v>11.5</v>
      </c>
      <c r="I166" s="74" t="s">
        <v>33</v>
      </c>
      <c r="J166" s="75" t="s">
        <v>34</v>
      </c>
      <c r="K166" s="77" t="s">
        <v>421</v>
      </c>
      <c r="L166" s="41" t="s">
        <v>36</v>
      </c>
      <c r="M166" s="26">
        <f t="shared" si="5"/>
        <v>48001625</v>
      </c>
      <c r="N166" s="26">
        <f t="shared" si="4"/>
        <v>48001625</v>
      </c>
      <c r="O166" s="26">
        <v>48001625</v>
      </c>
      <c r="P166" s="26">
        <v>0</v>
      </c>
      <c r="Q166" s="26"/>
      <c r="R166" s="26"/>
      <c r="S166" s="29" t="s">
        <v>37</v>
      </c>
      <c r="T166" s="29" t="s">
        <v>38</v>
      </c>
      <c r="U166" s="29"/>
      <c r="V166" s="29" t="s">
        <v>382</v>
      </c>
      <c r="W166" s="29" t="s">
        <v>170</v>
      </c>
      <c r="X166" s="29" t="s">
        <v>41</v>
      </c>
      <c r="Y166" s="29" t="s">
        <v>42</v>
      </c>
      <c r="Z166" s="30" t="s">
        <v>171</v>
      </c>
      <c r="AA166" s="79" t="s">
        <v>44</v>
      </c>
    </row>
    <row r="167" spans="1:27" ht="57" customHeight="1" x14ac:dyDescent="0.25">
      <c r="A167" s="17" t="s">
        <v>378</v>
      </c>
      <c r="B167" s="74">
        <v>80131502</v>
      </c>
      <c r="C167" s="75" t="s">
        <v>446</v>
      </c>
      <c r="D167" s="75"/>
      <c r="E167" s="20"/>
      <c r="F167" s="82"/>
      <c r="G167" s="82"/>
      <c r="H167" s="83">
        <v>11.5</v>
      </c>
      <c r="I167" s="74" t="s">
        <v>33</v>
      </c>
      <c r="J167" s="75" t="s">
        <v>34</v>
      </c>
      <c r="K167" s="77" t="s">
        <v>421</v>
      </c>
      <c r="L167" s="41" t="s">
        <v>36</v>
      </c>
      <c r="M167" s="26">
        <f t="shared" si="5"/>
        <v>93867658</v>
      </c>
      <c r="N167" s="26">
        <f t="shared" si="4"/>
        <v>93867658</v>
      </c>
      <c r="O167" s="26">
        <v>93867658</v>
      </c>
      <c r="P167" s="26">
        <v>0</v>
      </c>
      <c r="Q167" s="26"/>
      <c r="R167" s="26"/>
      <c r="S167" s="29" t="s">
        <v>37</v>
      </c>
      <c r="T167" s="29" t="s">
        <v>38</v>
      </c>
      <c r="U167" s="29"/>
      <c r="V167" s="29" t="s">
        <v>382</v>
      </c>
      <c r="W167" s="29" t="s">
        <v>170</v>
      </c>
      <c r="X167" s="29" t="s">
        <v>41</v>
      </c>
      <c r="Y167" s="29" t="s">
        <v>42</v>
      </c>
      <c r="Z167" s="30" t="s">
        <v>171</v>
      </c>
      <c r="AA167" s="79" t="s">
        <v>44</v>
      </c>
    </row>
    <row r="168" spans="1:27" ht="57" customHeight="1" x14ac:dyDescent="0.25">
      <c r="A168" s="17" t="s">
        <v>378</v>
      </c>
      <c r="B168" s="74">
        <v>80131502</v>
      </c>
      <c r="C168" s="75" t="s">
        <v>447</v>
      </c>
      <c r="D168" s="75"/>
      <c r="E168" s="20"/>
      <c r="F168" s="82"/>
      <c r="G168" s="82"/>
      <c r="H168" s="83">
        <v>11.5</v>
      </c>
      <c r="I168" s="74" t="s">
        <v>33</v>
      </c>
      <c r="J168" s="75" t="s">
        <v>34</v>
      </c>
      <c r="K168" s="77" t="s">
        <v>421</v>
      </c>
      <c r="L168" s="41" t="s">
        <v>36</v>
      </c>
      <c r="M168" s="26">
        <f t="shared" si="5"/>
        <v>93743005</v>
      </c>
      <c r="N168" s="26">
        <f t="shared" si="4"/>
        <v>93743005</v>
      </c>
      <c r="O168" s="26">
        <v>93743005</v>
      </c>
      <c r="P168" s="26">
        <v>0</v>
      </c>
      <c r="Q168" s="26"/>
      <c r="R168" s="26"/>
      <c r="S168" s="29" t="s">
        <v>37</v>
      </c>
      <c r="T168" s="29" t="s">
        <v>38</v>
      </c>
      <c r="U168" s="29"/>
      <c r="V168" s="29" t="s">
        <v>382</v>
      </c>
      <c r="W168" s="29" t="s">
        <v>170</v>
      </c>
      <c r="X168" s="29" t="s">
        <v>41</v>
      </c>
      <c r="Y168" s="29" t="s">
        <v>42</v>
      </c>
      <c r="Z168" s="30" t="s">
        <v>171</v>
      </c>
      <c r="AA168" s="79" t="s">
        <v>44</v>
      </c>
    </row>
    <row r="169" spans="1:27" ht="57" customHeight="1" x14ac:dyDescent="0.25">
      <c r="A169" s="17" t="s">
        <v>378</v>
      </c>
      <c r="B169" s="74">
        <v>80131502</v>
      </c>
      <c r="C169" s="75" t="s">
        <v>448</v>
      </c>
      <c r="D169" s="75"/>
      <c r="E169" s="20"/>
      <c r="F169" s="82"/>
      <c r="G169" s="82"/>
      <c r="H169" s="83">
        <v>11.5</v>
      </c>
      <c r="I169" s="74" t="s">
        <v>33</v>
      </c>
      <c r="J169" s="75" t="s">
        <v>34</v>
      </c>
      <c r="K169" s="77" t="s">
        <v>421</v>
      </c>
      <c r="L169" s="41" t="s">
        <v>36</v>
      </c>
      <c r="M169" s="26">
        <f t="shared" si="5"/>
        <v>92200000</v>
      </c>
      <c r="N169" s="26">
        <f t="shared" si="4"/>
        <v>92200000</v>
      </c>
      <c r="O169" s="26">
        <v>92200000</v>
      </c>
      <c r="P169" s="26">
        <v>0</v>
      </c>
      <c r="Q169" s="26"/>
      <c r="R169" s="26"/>
      <c r="S169" s="29" t="s">
        <v>37</v>
      </c>
      <c r="T169" s="29" t="s">
        <v>38</v>
      </c>
      <c r="U169" s="29"/>
      <c r="V169" s="29" t="s">
        <v>382</v>
      </c>
      <c r="W169" s="29" t="s">
        <v>170</v>
      </c>
      <c r="X169" s="29" t="s">
        <v>41</v>
      </c>
      <c r="Y169" s="29" t="s">
        <v>42</v>
      </c>
      <c r="Z169" s="30" t="s">
        <v>171</v>
      </c>
      <c r="AA169" s="79" t="s">
        <v>44</v>
      </c>
    </row>
    <row r="170" spans="1:27" ht="42.75" customHeight="1" x14ac:dyDescent="0.25">
      <c r="A170" s="17" t="s">
        <v>378</v>
      </c>
      <c r="B170" s="74">
        <v>80131502</v>
      </c>
      <c r="C170" s="75" t="s">
        <v>449</v>
      </c>
      <c r="D170" s="75"/>
      <c r="E170" s="20"/>
      <c r="F170" s="82"/>
      <c r="G170" s="82"/>
      <c r="H170" s="83">
        <v>11.5</v>
      </c>
      <c r="I170" s="74" t="s">
        <v>33</v>
      </c>
      <c r="J170" s="75" t="s">
        <v>34</v>
      </c>
      <c r="K170" s="77" t="s">
        <v>421</v>
      </c>
      <c r="L170" s="41" t="s">
        <v>36</v>
      </c>
      <c r="M170" s="26">
        <f t="shared" si="5"/>
        <v>104719354</v>
      </c>
      <c r="N170" s="26">
        <f t="shared" si="4"/>
        <v>104719354</v>
      </c>
      <c r="O170" s="26">
        <v>104719354</v>
      </c>
      <c r="P170" s="26">
        <v>0</v>
      </c>
      <c r="Q170" s="26"/>
      <c r="R170" s="26"/>
      <c r="S170" s="29" t="s">
        <v>37</v>
      </c>
      <c r="T170" s="29" t="s">
        <v>38</v>
      </c>
      <c r="U170" s="29"/>
      <c r="V170" s="29" t="s">
        <v>382</v>
      </c>
      <c r="W170" s="29" t="s">
        <v>170</v>
      </c>
      <c r="X170" s="29" t="s">
        <v>41</v>
      </c>
      <c r="Y170" s="29" t="s">
        <v>42</v>
      </c>
      <c r="Z170" s="30" t="s">
        <v>171</v>
      </c>
      <c r="AA170" s="79" t="s">
        <v>44</v>
      </c>
    </row>
    <row r="171" spans="1:27" ht="57" customHeight="1" x14ac:dyDescent="0.25">
      <c r="A171" s="17" t="s">
        <v>378</v>
      </c>
      <c r="B171" s="74">
        <v>80131502</v>
      </c>
      <c r="C171" s="75" t="s">
        <v>450</v>
      </c>
      <c r="D171" s="75"/>
      <c r="E171" s="20"/>
      <c r="F171" s="82"/>
      <c r="G171" s="82"/>
      <c r="H171" s="83">
        <v>11.5</v>
      </c>
      <c r="I171" s="74" t="s">
        <v>33</v>
      </c>
      <c r="J171" s="75" t="s">
        <v>34</v>
      </c>
      <c r="K171" s="77" t="s">
        <v>421</v>
      </c>
      <c r="L171" s="41" t="s">
        <v>36</v>
      </c>
      <c r="M171" s="26">
        <f t="shared" si="5"/>
        <v>219981925</v>
      </c>
      <c r="N171" s="26">
        <f t="shared" si="4"/>
        <v>219981925</v>
      </c>
      <c r="O171" s="26">
        <v>219981925</v>
      </c>
      <c r="P171" s="26"/>
      <c r="Q171" s="26"/>
      <c r="R171" s="26"/>
      <c r="S171" s="29" t="s">
        <v>37</v>
      </c>
      <c r="T171" s="29" t="s">
        <v>38</v>
      </c>
      <c r="U171" s="29"/>
      <c r="V171" s="29" t="s">
        <v>382</v>
      </c>
      <c r="W171" s="29" t="s">
        <v>170</v>
      </c>
      <c r="X171" s="29" t="s">
        <v>41</v>
      </c>
      <c r="Y171" s="29" t="s">
        <v>42</v>
      </c>
      <c r="Z171" s="30" t="s">
        <v>171</v>
      </c>
      <c r="AA171" s="79" t="s">
        <v>44</v>
      </c>
    </row>
    <row r="172" spans="1:27" ht="57" customHeight="1" x14ac:dyDescent="0.25">
      <c r="A172" s="17" t="s">
        <v>378</v>
      </c>
      <c r="B172" s="74">
        <v>80131502</v>
      </c>
      <c r="C172" s="75" t="s">
        <v>451</v>
      </c>
      <c r="D172" s="75"/>
      <c r="E172" s="20"/>
      <c r="F172" s="82"/>
      <c r="G172" s="82"/>
      <c r="H172" s="83">
        <v>11.5</v>
      </c>
      <c r="I172" s="74" t="s">
        <v>33</v>
      </c>
      <c r="J172" s="75" t="s">
        <v>34</v>
      </c>
      <c r="K172" s="77" t="s">
        <v>421</v>
      </c>
      <c r="L172" s="41" t="s">
        <v>36</v>
      </c>
      <c r="M172" s="26">
        <f t="shared" si="5"/>
        <v>77182130</v>
      </c>
      <c r="N172" s="26">
        <f t="shared" si="4"/>
        <v>77182130</v>
      </c>
      <c r="O172" s="26">
        <v>77182130</v>
      </c>
      <c r="P172" s="26">
        <v>0</v>
      </c>
      <c r="Q172" s="26"/>
      <c r="R172" s="26"/>
      <c r="S172" s="29" t="s">
        <v>37</v>
      </c>
      <c r="T172" s="29" t="s">
        <v>38</v>
      </c>
      <c r="U172" s="29"/>
      <c r="V172" s="29" t="s">
        <v>382</v>
      </c>
      <c r="W172" s="29" t="s">
        <v>170</v>
      </c>
      <c r="X172" s="29" t="s">
        <v>41</v>
      </c>
      <c r="Y172" s="29" t="s">
        <v>42</v>
      </c>
      <c r="Z172" s="30" t="s">
        <v>171</v>
      </c>
      <c r="AA172" s="79" t="s">
        <v>44</v>
      </c>
    </row>
    <row r="173" spans="1:27" ht="57" customHeight="1" x14ac:dyDescent="0.25">
      <c r="A173" s="17" t="s">
        <v>378</v>
      </c>
      <c r="B173" s="74">
        <v>80131502</v>
      </c>
      <c r="C173" s="75" t="s">
        <v>452</v>
      </c>
      <c r="D173" s="75"/>
      <c r="E173" s="20"/>
      <c r="F173" s="82"/>
      <c r="G173" s="82"/>
      <c r="H173" s="83">
        <v>11.5</v>
      </c>
      <c r="I173" s="74" t="s">
        <v>33</v>
      </c>
      <c r="J173" s="75" t="s">
        <v>34</v>
      </c>
      <c r="K173" s="77" t="s">
        <v>421</v>
      </c>
      <c r="L173" s="41" t="s">
        <v>36</v>
      </c>
      <c r="M173" s="26">
        <f t="shared" si="5"/>
        <v>124382619</v>
      </c>
      <c r="N173" s="26">
        <f t="shared" si="4"/>
        <v>124382619</v>
      </c>
      <c r="O173" s="26">
        <v>124382619</v>
      </c>
      <c r="P173" s="26">
        <v>0</v>
      </c>
      <c r="Q173" s="26"/>
      <c r="R173" s="26"/>
      <c r="S173" s="29" t="s">
        <v>37</v>
      </c>
      <c r="T173" s="29" t="s">
        <v>38</v>
      </c>
      <c r="U173" s="29"/>
      <c r="V173" s="29" t="s">
        <v>382</v>
      </c>
      <c r="W173" s="29" t="s">
        <v>170</v>
      </c>
      <c r="X173" s="29" t="s">
        <v>41</v>
      </c>
      <c r="Y173" s="29" t="s">
        <v>42</v>
      </c>
      <c r="Z173" s="30" t="s">
        <v>171</v>
      </c>
      <c r="AA173" s="79" t="s">
        <v>44</v>
      </c>
    </row>
    <row r="174" spans="1:27" ht="42.75" customHeight="1" x14ac:dyDescent="0.25">
      <c r="A174" s="17" t="s">
        <v>378</v>
      </c>
      <c r="B174" s="74">
        <v>80131502</v>
      </c>
      <c r="C174" s="75" t="s">
        <v>453</v>
      </c>
      <c r="D174" s="75"/>
      <c r="E174" s="20"/>
      <c r="F174" s="82"/>
      <c r="G174" s="82"/>
      <c r="H174" s="83">
        <v>11.5</v>
      </c>
      <c r="I174" s="74" t="s">
        <v>33</v>
      </c>
      <c r="J174" s="75" t="s">
        <v>34</v>
      </c>
      <c r="K174" s="77" t="s">
        <v>421</v>
      </c>
      <c r="L174" s="41" t="s">
        <v>36</v>
      </c>
      <c r="M174" s="26">
        <f t="shared" si="5"/>
        <v>50387578</v>
      </c>
      <c r="N174" s="26">
        <f t="shared" si="4"/>
        <v>50387578</v>
      </c>
      <c r="O174" s="26">
        <v>50387578</v>
      </c>
      <c r="P174" s="26">
        <v>0</v>
      </c>
      <c r="Q174" s="26"/>
      <c r="R174" s="26"/>
      <c r="S174" s="29" t="s">
        <v>37</v>
      </c>
      <c r="T174" s="29" t="s">
        <v>38</v>
      </c>
      <c r="U174" s="29"/>
      <c r="V174" s="29" t="s">
        <v>382</v>
      </c>
      <c r="W174" s="29" t="s">
        <v>170</v>
      </c>
      <c r="X174" s="29" t="s">
        <v>41</v>
      </c>
      <c r="Y174" s="29" t="s">
        <v>42</v>
      </c>
      <c r="Z174" s="30" t="s">
        <v>171</v>
      </c>
      <c r="AA174" s="79" t="s">
        <v>44</v>
      </c>
    </row>
    <row r="175" spans="1:27" ht="57" customHeight="1" x14ac:dyDescent="0.25">
      <c r="A175" s="17" t="s">
        <v>378</v>
      </c>
      <c r="B175" s="74">
        <v>80131502</v>
      </c>
      <c r="C175" s="75" t="s">
        <v>454</v>
      </c>
      <c r="D175" s="75"/>
      <c r="E175" s="20"/>
      <c r="F175" s="82"/>
      <c r="G175" s="82"/>
      <c r="H175" s="83">
        <v>11.5</v>
      </c>
      <c r="I175" s="74" t="s">
        <v>33</v>
      </c>
      <c r="J175" s="75" t="s">
        <v>34</v>
      </c>
      <c r="K175" s="77" t="s">
        <v>421</v>
      </c>
      <c r="L175" s="41" t="s">
        <v>36</v>
      </c>
      <c r="M175" s="26">
        <f t="shared" si="5"/>
        <v>116256294</v>
      </c>
      <c r="N175" s="26">
        <f t="shared" si="4"/>
        <v>116256294</v>
      </c>
      <c r="O175" s="26">
        <v>116256294</v>
      </c>
      <c r="P175" s="26">
        <v>0</v>
      </c>
      <c r="Q175" s="26"/>
      <c r="R175" s="26"/>
      <c r="S175" s="29" t="s">
        <v>37</v>
      </c>
      <c r="T175" s="29" t="s">
        <v>38</v>
      </c>
      <c r="U175" s="29"/>
      <c r="V175" s="29" t="s">
        <v>382</v>
      </c>
      <c r="W175" s="29" t="s">
        <v>170</v>
      </c>
      <c r="X175" s="29" t="s">
        <v>41</v>
      </c>
      <c r="Y175" s="29" t="s">
        <v>42</v>
      </c>
      <c r="Z175" s="30" t="s">
        <v>171</v>
      </c>
      <c r="AA175" s="79" t="s">
        <v>44</v>
      </c>
    </row>
    <row r="176" spans="1:27" ht="57" customHeight="1" x14ac:dyDescent="0.25">
      <c r="A176" s="17" t="s">
        <v>378</v>
      </c>
      <c r="B176" s="74">
        <v>80131502</v>
      </c>
      <c r="C176" s="75" t="s">
        <v>455</v>
      </c>
      <c r="D176" s="75"/>
      <c r="E176" s="20"/>
      <c r="F176" s="82"/>
      <c r="G176" s="82"/>
      <c r="H176" s="83">
        <v>11.5</v>
      </c>
      <c r="I176" s="74" t="s">
        <v>33</v>
      </c>
      <c r="J176" s="75" t="s">
        <v>34</v>
      </c>
      <c r="K176" s="77" t="s">
        <v>421</v>
      </c>
      <c r="L176" s="41" t="s">
        <v>36</v>
      </c>
      <c r="M176" s="26">
        <f t="shared" si="5"/>
        <v>91852706</v>
      </c>
      <c r="N176" s="26">
        <f t="shared" si="4"/>
        <v>91852706</v>
      </c>
      <c r="O176" s="26">
        <v>91852706</v>
      </c>
      <c r="P176" s="26">
        <v>0</v>
      </c>
      <c r="Q176" s="26"/>
      <c r="R176" s="26"/>
      <c r="S176" s="29" t="s">
        <v>37</v>
      </c>
      <c r="T176" s="29" t="s">
        <v>38</v>
      </c>
      <c r="U176" s="29"/>
      <c r="V176" s="29" t="s">
        <v>382</v>
      </c>
      <c r="W176" s="29" t="s">
        <v>170</v>
      </c>
      <c r="X176" s="29" t="s">
        <v>41</v>
      </c>
      <c r="Y176" s="29" t="s">
        <v>42</v>
      </c>
      <c r="Z176" s="30" t="s">
        <v>171</v>
      </c>
      <c r="AA176" s="79" t="s">
        <v>44</v>
      </c>
    </row>
    <row r="177" spans="1:27" ht="57" customHeight="1" x14ac:dyDescent="0.25">
      <c r="A177" s="17" t="s">
        <v>378</v>
      </c>
      <c r="B177" s="74">
        <v>80131502</v>
      </c>
      <c r="C177" s="75" t="s">
        <v>456</v>
      </c>
      <c r="D177" s="75"/>
      <c r="E177" s="20"/>
      <c r="F177" s="82"/>
      <c r="G177" s="82"/>
      <c r="H177" s="83">
        <v>11.5</v>
      </c>
      <c r="I177" s="74" t="s">
        <v>33</v>
      </c>
      <c r="J177" s="75" t="s">
        <v>34</v>
      </c>
      <c r="K177" s="77" t="s">
        <v>421</v>
      </c>
      <c r="L177" s="41" t="s">
        <v>36</v>
      </c>
      <c r="M177" s="26">
        <f t="shared" si="5"/>
        <v>78324717</v>
      </c>
      <c r="N177" s="26">
        <f t="shared" si="4"/>
        <v>78324717</v>
      </c>
      <c r="O177" s="26">
        <v>78324717</v>
      </c>
      <c r="P177" s="26">
        <v>0</v>
      </c>
      <c r="Q177" s="26"/>
      <c r="R177" s="26"/>
      <c r="S177" s="29" t="s">
        <v>37</v>
      </c>
      <c r="T177" s="29" t="s">
        <v>38</v>
      </c>
      <c r="U177" s="29"/>
      <c r="V177" s="29" t="s">
        <v>382</v>
      </c>
      <c r="W177" s="29" t="s">
        <v>170</v>
      </c>
      <c r="X177" s="29" t="s">
        <v>41</v>
      </c>
      <c r="Y177" s="29" t="s">
        <v>42</v>
      </c>
      <c r="Z177" s="30" t="s">
        <v>171</v>
      </c>
      <c r="AA177" s="79" t="s">
        <v>44</v>
      </c>
    </row>
    <row r="178" spans="1:27" ht="57" customHeight="1" x14ac:dyDescent="0.25">
      <c r="A178" s="17" t="s">
        <v>378</v>
      </c>
      <c r="B178" s="74">
        <v>80131502</v>
      </c>
      <c r="C178" s="75" t="s">
        <v>457</v>
      </c>
      <c r="D178" s="75"/>
      <c r="E178" s="20"/>
      <c r="F178" s="82"/>
      <c r="G178" s="82"/>
      <c r="H178" s="83">
        <v>11.5</v>
      </c>
      <c r="I178" s="74" t="s">
        <v>33</v>
      </c>
      <c r="J178" s="75" t="s">
        <v>34</v>
      </c>
      <c r="K178" s="77" t="s">
        <v>421</v>
      </c>
      <c r="L178" s="41" t="s">
        <v>36</v>
      </c>
      <c r="M178" s="26">
        <f t="shared" si="5"/>
        <v>133943158</v>
      </c>
      <c r="N178" s="26">
        <f t="shared" si="4"/>
        <v>133943158</v>
      </c>
      <c r="O178" s="26">
        <v>133943158</v>
      </c>
      <c r="P178" s="26">
        <v>0</v>
      </c>
      <c r="Q178" s="26"/>
      <c r="R178" s="26"/>
      <c r="S178" s="29" t="s">
        <v>37</v>
      </c>
      <c r="T178" s="29" t="s">
        <v>38</v>
      </c>
      <c r="U178" s="29"/>
      <c r="V178" s="29" t="s">
        <v>382</v>
      </c>
      <c r="W178" s="29" t="s">
        <v>170</v>
      </c>
      <c r="X178" s="29" t="s">
        <v>41</v>
      </c>
      <c r="Y178" s="29" t="s">
        <v>42</v>
      </c>
      <c r="Z178" s="30" t="s">
        <v>171</v>
      </c>
      <c r="AA178" s="79" t="s">
        <v>44</v>
      </c>
    </row>
    <row r="179" spans="1:27" ht="57" customHeight="1" x14ac:dyDescent="0.25">
      <c r="A179" s="17" t="s">
        <v>378</v>
      </c>
      <c r="B179" s="74">
        <v>80131502</v>
      </c>
      <c r="C179" s="75" t="s">
        <v>458</v>
      </c>
      <c r="D179" s="75"/>
      <c r="E179" s="20"/>
      <c r="F179" s="82"/>
      <c r="G179" s="82"/>
      <c r="H179" s="83">
        <v>11.5</v>
      </c>
      <c r="I179" s="74" t="s">
        <v>33</v>
      </c>
      <c r="J179" s="75" t="s">
        <v>34</v>
      </c>
      <c r="K179" s="77" t="s">
        <v>421</v>
      </c>
      <c r="L179" s="41" t="s">
        <v>36</v>
      </c>
      <c r="M179" s="26">
        <f t="shared" si="5"/>
        <v>71894817</v>
      </c>
      <c r="N179" s="26">
        <f t="shared" si="4"/>
        <v>71894817</v>
      </c>
      <c r="O179" s="26">
        <v>71894817</v>
      </c>
      <c r="P179" s="26">
        <v>0</v>
      </c>
      <c r="Q179" s="26"/>
      <c r="R179" s="26"/>
      <c r="S179" s="29" t="s">
        <v>37</v>
      </c>
      <c r="T179" s="29" t="s">
        <v>38</v>
      </c>
      <c r="U179" s="29"/>
      <c r="V179" s="29" t="s">
        <v>382</v>
      </c>
      <c r="W179" s="29" t="s">
        <v>170</v>
      </c>
      <c r="X179" s="29" t="s">
        <v>41</v>
      </c>
      <c r="Y179" s="29" t="s">
        <v>42</v>
      </c>
      <c r="Z179" s="30" t="s">
        <v>171</v>
      </c>
      <c r="AA179" s="79" t="s">
        <v>44</v>
      </c>
    </row>
    <row r="180" spans="1:27" ht="57" customHeight="1" x14ac:dyDescent="0.25">
      <c r="A180" s="17" t="s">
        <v>378</v>
      </c>
      <c r="B180" s="74">
        <v>80131502</v>
      </c>
      <c r="C180" s="75" t="s">
        <v>459</v>
      </c>
      <c r="D180" s="75"/>
      <c r="E180" s="20"/>
      <c r="F180" s="82"/>
      <c r="G180" s="82"/>
      <c r="H180" s="83">
        <v>11.5</v>
      </c>
      <c r="I180" s="74" t="s">
        <v>33</v>
      </c>
      <c r="J180" s="75" t="s">
        <v>34</v>
      </c>
      <c r="K180" s="77" t="s">
        <v>421</v>
      </c>
      <c r="L180" s="41" t="s">
        <v>36</v>
      </c>
      <c r="M180" s="26">
        <f t="shared" si="5"/>
        <v>40343380</v>
      </c>
      <c r="N180" s="26">
        <f t="shared" si="4"/>
        <v>40343380</v>
      </c>
      <c r="O180" s="26">
        <v>40343380</v>
      </c>
      <c r="P180" s="26">
        <v>0</v>
      </c>
      <c r="Q180" s="26"/>
      <c r="R180" s="26"/>
      <c r="S180" s="29" t="s">
        <v>37</v>
      </c>
      <c r="T180" s="29" t="s">
        <v>38</v>
      </c>
      <c r="U180" s="29"/>
      <c r="V180" s="29" t="s">
        <v>382</v>
      </c>
      <c r="W180" s="29" t="s">
        <v>170</v>
      </c>
      <c r="X180" s="29" t="s">
        <v>41</v>
      </c>
      <c r="Y180" s="29" t="s">
        <v>42</v>
      </c>
      <c r="Z180" s="30" t="s">
        <v>171</v>
      </c>
      <c r="AA180" s="79" t="s">
        <v>44</v>
      </c>
    </row>
    <row r="181" spans="1:27" ht="57" customHeight="1" x14ac:dyDescent="0.25">
      <c r="A181" s="17" t="s">
        <v>378</v>
      </c>
      <c r="B181" s="74">
        <v>80131502</v>
      </c>
      <c r="C181" s="75" t="s">
        <v>460</v>
      </c>
      <c r="D181" s="75"/>
      <c r="E181" s="20"/>
      <c r="F181" s="82"/>
      <c r="G181" s="82"/>
      <c r="H181" s="83">
        <v>11.5</v>
      </c>
      <c r="I181" s="74" t="s">
        <v>33</v>
      </c>
      <c r="J181" s="75" t="s">
        <v>34</v>
      </c>
      <c r="K181" s="77" t="s">
        <v>421</v>
      </c>
      <c r="L181" s="41" t="s">
        <v>36</v>
      </c>
      <c r="M181" s="26">
        <f t="shared" si="5"/>
        <v>61563696</v>
      </c>
      <c r="N181" s="26">
        <f t="shared" si="4"/>
        <v>61563696</v>
      </c>
      <c r="O181" s="26">
        <v>61563696</v>
      </c>
      <c r="P181" s="26">
        <v>0</v>
      </c>
      <c r="Q181" s="26"/>
      <c r="R181" s="26"/>
      <c r="S181" s="29" t="s">
        <v>37</v>
      </c>
      <c r="T181" s="29" t="s">
        <v>38</v>
      </c>
      <c r="U181" s="29"/>
      <c r="V181" s="29" t="s">
        <v>382</v>
      </c>
      <c r="W181" s="29" t="s">
        <v>170</v>
      </c>
      <c r="X181" s="29" t="s">
        <v>41</v>
      </c>
      <c r="Y181" s="29" t="s">
        <v>42</v>
      </c>
      <c r="Z181" s="30" t="s">
        <v>171</v>
      </c>
      <c r="AA181" s="79" t="s">
        <v>44</v>
      </c>
    </row>
    <row r="182" spans="1:27" ht="42.75" customHeight="1" x14ac:dyDescent="0.25">
      <c r="A182" s="17" t="s">
        <v>378</v>
      </c>
      <c r="B182" s="74">
        <v>80131502</v>
      </c>
      <c r="C182" s="19" t="s">
        <v>461</v>
      </c>
      <c r="D182" s="75"/>
      <c r="E182" s="20">
        <v>44022</v>
      </c>
      <c r="F182" s="82" t="s">
        <v>217</v>
      </c>
      <c r="G182" s="82" t="s">
        <v>217</v>
      </c>
      <c r="H182" s="83">
        <v>19.5</v>
      </c>
      <c r="I182" s="74" t="s">
        <v>33</v>
      </c>
      <c r="J182" s="75" t="s">
        <v>34</v>
      </c>
      <c r="K182" s="77" t="s">
        <v>421</v>
      </c>
      <c r="L182" s="41" t="s">
        <v>36</v>
      </c>
      <c r="M182" s="26">
        <f t="shared" si="5"/>
        <v>4550430649</v>
      </c>
      <c r="N182" s="26">
        <f t="shared" si="4"/>
        <v>113159341</v>
      </c>
      <c r="O182" s="26">
        <v>39282641</v>
      </c>
      <c r="P182" s="26">
        <v>73876700</v>
      </c>
      <c r="Q182" s="38">
        <v>2760881775</v>
      </c>
      <c r="R182" s="26">
        <v>1676389533</v>
      </c>
      <c r="S182" s="29" t="s">
        <v>117</v>
      </c>
      <c r="T182" s="29" t="s">
        <v>174</v>
      </c>
      <c r="U182" s="29"/>
      <c r="V182" s="29" t="s">
        <v>382</v>
      </c>
      <c r="W182" s="29" t="s">
        <v>170</v>
      </c>
      <c r="X182" s="29" t="s">
        <v>41</v>
      </c>
      <c r="Y182" s="29" t="s">
        <v>42</v>
      </c>
      <c r="Z182" s="30" t="s">
        <v>171</v>
      </c>
      <c r="AA182" s="79" t="s">
        <v>44</v>
      </c>
    </row>
    <row r="183" spans="1:27" ht="42.75" customHeight="1" x14ac:dyDescent="0.25">
      <c r="A183" s="17" t="s">
        <v>378</v>
      </c>
      <c r="B183" s="74">
        <v>80131502</v>
      </c>
      <c r="C183" s="19" t="s">
        <v>462</v>
      </c>
      <c r="D183" s="75"/>
      <c r="E183" s="20">
        <v>44022</v>
      </c>
      <c r="F183" s="82" t="s">
        <v>217</v>
      </c>
      <c r="G183" s="82" t="s">
        <v>217</v>
      </c>
      <c r="H183" s="30">
        <v>19.332999999999998</v>
      </c>
      <c r="I183" s="74" t="s">
        <v>33</v>
      </c>
      <c r="J183" s="75" t="s">
        <v>34</v>
      </c>
      <c r="K183" s="77" t="s">
        <v>421</v>
      </c>
      <c r="L183" s="41" t="s">
        <v>36</v>
      </c>
      <c r="M183" s="26">
        <f t="shared" si="5"/>
        <v>81728663</v>
      </c>
      <c r="N183" s="26">
        <f>+O183+P183</f>
        <v>1333330</v>
      </c>
      <c r="O183" s="26"/>
      <c r="P183" s="26">
        <v>1333330</v>
      </c>
      <c r="Q183" s="26">
        <v>49973333</v>
      </c>
      <c r="R183" s="26">
        <v>30422000</v>
      </c>
      <c r="S183" s="29" t="s">
        <v>117</v>
      </c>
      <c r="T183" s="29" t="s">
        <v>174</v>
      </c>
      <c r="U183" s="29"/>
      <c r="V183" s="29" t="s">
        <v>382</v>
      </c>
      <c r="W183" s="29" t="s">
        <v>170</v>
      </c>
      <c r="X183" s="29" t="s">
        <v>41</v>
      </c>
      <c r="Y183" s="29" t="s">
        <v>42</v>
      </c>
      <c r="Z183" s="30" t="s">
        <v>171</v>
      </c>
      <c r="AA183" s="79" t="s">
        <v>44</v>
      </c>
    </row>
    <row r="184" spans="1:27" ht="42.75" customHeight="1" x14ac:dyDescent="0.25">
      <c r="A184" s="17" t="s">
        <v>378</v>
      </c>
      <c r="B184" s="74">
        <v>80131502</v>
      </c>
      <c r="C184" s="19" t="s">
        <v>463</v>
      </c>
      <c r="D184" s="75"/>
      <c r="E184" s="20">
        <v>44022</v>
      </c>
      <c r="F184" s="82" t="s">
        <v>217</v>
      </c>
      <c r="G184" s="82" t="s">
        <v>217</v>
      </c>
      <c r="H184" s="30">
        <v>12</v>
      </c>
      <c r="I184" s="74" t="s">
        <v>33</v>
      </c>
      <c r="J184" s="75" t="s">
        <v>34</v>
      </c>
      <c r="K184" s="77" t="s">
        <v>421</v>
      </c>
      <c r="L184" s="41" t="s">
        <v>36</v>
      </c>
      <c r="M184" s="26">
        <f t="shared" si="5"/>
        <v>540704703</v>
      </c>
      <c r="N184" s="26">
        <f>+O184+P184</f>
        <v>22436985</v>
      </c>
      <c r="O184" s="26"/>
      <c r="P184" s="26">
        <v>22436985</v>
      </c>
      <c r="Q184" s="26">
        <v>518267718</v>
      </c>
      <c r="R184" s="26"/>
      <c r="S184" s="29" t="s">
        <v>117</v>
      </c>
      <c r="T184" s="29" t="s">
        <v>174</v>
      </c>
      <c r="U184" s="29"/>
      <c r="V184" s="29" t="s">
        <v>382</v>
      </c>
      <c r="W184" s="29" t="s">
        <v>170</v>
      </c>
      <c r="X184" s="29" t="s">
        <v>41</v>
      </c>
      <c r="Y184" s="29" t="s">
        <v>42</v>
      </c>
      <c r="Z184" s="30" t="s">
        <v>171</v>
      </c>
      <c r="AA184" s="79" t="s">
        <v>44</v>
      </c>
    </row>
    <row r="185" spans="1:27" ht="42.75" customHeight="1" x14ac:dyDescent="0.25">
      <c r="A185" s="17" t="s">
        <v>378</v>
      </c>
      <c r="B185" s="74">
        <v>80131502</v>
      </c>
      <c r="C185" s="19" t="s">
        <v>464</v>
      </c>
      <c r="D185" s="75"/>
      <c r="E185" s="20"/>
      <c r="F185" s="82"/>
      <c r="G185" s="82"/>
      <c r="H185" s="30"/>
      <c r="I185" s="74"/>
      <c r="J185" s="75" t="s">
        <v>34</v>
      </c>
      <c r="K185" s="77" t="s">
        <v>421</v>
      </c>
      <c r="L185" s="41" t="s">
        <v>36</v>
      </c>
      <c r="M185" s="26">
        <f t="shared" si="5"/>
        <v>32600919</v>
      </c>
      <c r="N185" s="26">
        <f>+O185+P185</f>
        <v>32600919</v>
      </c>
      <c r="O185" s="26">
        <f>71883560-39282641</f>
        <v>32600919</v>
      </c>
      <c r="P185" s="26"/>
      <c r="Q185" s="26"/>
      <c r="R185" s="26"/>
      <c r="S185" s="29"/>
      <c r="T185" s="29"/>
      <c r="U185" s="29" t="s">
        <v>46</v>
      </c>
      <c r="V185" s="29" t="s">
        <v>382</v>
      </c>
      <c r="W185" s="29" t="s">
        <v>170</v>
      </c>
      <c r="X185" s="29" t="s">
        <v>41</v>
      </c>
      <c r="Y185" s="29" t="s">
        <v>42</v>
      </c>
      <c r="Z185" s="30" t="s">
        <v>171</v>
      </c>
      <c r="AA185" s="79" t="s">
        <v>44</v>
      </c>
    </row>
    <row r="186" spans="1:27" ht="42.75" customHeight="1" x14ac:dyDescent="0.25">
      <c r="A186" s="17" t="s">
        <v>378</v>
      </c>
      <c r="B186" s="74">
        <v>72102900</v>
      </c>
      <c r="C186" s="75" t="s">
        <v>465</v>
      </c>
      <c r="D186" s="75"/>
      <c r="E186" s="20">
        <v>43896</v>
      </c>
      <c r="F186" s="86" t="s">
        <v>82</v>
      </c>
      <c r="G186" s="86" t="s">
        <v>466</v>
      </c>
      <c r="H186" s="22">
        <v>6</v>
      </c>
      <c r="I186" s="41" t="s">
        <v>33</v>
      </c>
      <c r="J186" s="77" t="s">
        <v>70</v>
      </c>
      <c r="K186" s="77" t="s">
        <v>467</v>
      </c>
      <c r="L186" s="41" t="s">
        <v>468</v>
      </c>
      <c r="M186" s="26">
        <f t="shared" si="5"/>
        <v>142054524</v>
      </c>
      <c r="N186" s="26">
        <f t="shared" si="4"/>
        <v>142054524</v>
      </c>
      <c r="O186" s="60">
        <f>84054524+3000000+22000000</f>
        <v>109054524</v>
      </c>
      <c r="P186" s="60">
        <v>33000000</v>
      </c>
      <c r="Q186" s="26"/>
      <c r="R186" s="26"/>
      <c r="S186" s="29" t="s">
        <v>37</v>
      </c>
      <c r="T186" s="29" t="s">
        <v>38</v>
      </c>
      <c r="U186" s="29" t="s">
        <v>72</v>
      </c>
      <c r="V186" s="29" t="s">
        <v>382</v>
      </c>
      <c r="W186" s="29" t="s">
        <v>170</v>
      </c>
      <c r="X186" s="29" t="s">
        <v>41</v>
      </c>
      <c r="Y186" s="29" t="s">
        <v>42</v>
      </c>
      <c r="Z186" s="30" t="s">
        <v>171</v>
      </c>
      <c r="AA186" s="79" t="s">
        <v>44</v>
      </c>
    </row>
    <row r="187" spans="1:27" ht="57" customHeight="1" x14ac:dyDescent="0.25">
      <c r="A187" s="17" t="s">
        <v>378</v>
      </c>
      <c r="B187" s="74">
        <v>56101700</v>
      </c>
      <c r="C187" s="75" t="s">
        <v>469</v>
      </c>
      <c r="D187" s="75"/>
      <c r="E187" s="20">
        <v>43896</v>
      </c>
      <c r="F187" s="86" t="s">
        <v>82</v>
      </c>
      <c r="G187" s="86" t="s">
        <v>466</v>
      </c>
      <c r="H187" s="22">
        <v>6</v>
      </c>
      <c r="I187" s="87" t="s">
        <v>33</v>
      </c>
      <c r="J187" s="77" t="s">
        <v>198</v>
      </c>
      <c r="K187" s="77" t="s">
        <v>470</v>
      </c>
      <c r="L187" s="41" t="s">
        <v>471</v>
      </c>
      <c r="M187" s="26">
        <f>+N187+Q187+R187</f>
        <v>41297106</v>
      </c>
      <c r="N187" s="26">
        <f t="shared" si="4"/>
        <v>41297106</v>
      </c>
      <c r="O187" s="26">
        <v>41297106</v>
      </c>
      <c r="P187" s="60"/>
      <c r="Q187" s="38"/>
      <c r="R187" s="26"/>
      <c r="S187" s="29" t="s">
        <v>37</v>
      </c>
      <c r="T187" s="29" t="s">
        <v>38</v>
      </c>
      <c r="U187" s="29" t="s">
        <v>98</v>
      </c>
      <c r="V187" s="29" t="s">
        <v>382</v>
      </c>
      <c r="W187" s="29" t="s">
        <v>170</v>
      </c>
      <c r="X187" s="29" t="s">
        <v>41</v>
      </c>
      <c r="Y187" s="29" t="s">
        <v>42</v>
      </c>
      <c r="Z187" s="30" t="s">
        <v>171</v>
      </c>
      <c r="AA187" s="79" t="s">
        <v>44</v>
      </c>
    </row>
    <row r="188" spans="1:27" ht="57" customHeight="1" x14ac:dyDescent="0.25">
      <c r="A188" s="17" t="s">
        <v>378</v>
      </c>
      <c r="B188" s="74">
        <v>56101700</v>
      </c>
      <c r="C188" s="75" t="s">
        <v>472</v>
      </c>
      <c r="D188" s="75"/>
      <c r="E188" s="20"/>
      <c r="F188" s="86"/>
      <c r="G188" s="86"/>
      <c r="H188" s="22"/>
      <c r="I188" s="87"/>
      <c r="J188" s="77"/>
      <c r="K188" s="77" t="s">
        <v>470</v>
      </c>
      <c r="L188" s="41" t="s">
        <v>471</v>
      </c>
      <c r="M188" s="26">
        <f>+N188+Q188+R188</f>
        <v>82425106</v>
      </c>
      <c r="N188" s="26">
        <f t="shared" si="4"/>
        <v>82425106</v>
      </c>
      <c r="O188" s="26">
        <v>41297106</v>
      </c>
      <c r="P188" s="26">
        <v>41128000</v>
      </c>
      <c r="Q188" s="38"/>
      <c r="R188" s="26"/>
      <c r="S188" s="29" t="s">
        <v>37</v>
      </c>
      <c r="T188" s="29" t="s">
        <v>38</v>
      </c>
      <c r="U188" s="29" t="s">
        <v>46</v>
      </c>
      <c r="V188" s="29" t="s">
        <v>382</v>
      </c>
      <c r="W188" s="29" t="s">
        <v>170</v>
      </c>
      <c r="X188" s="29" t="s">
        <v>41</v>
      </c>
      <c r="Y188" s="29" t="s">
        <v>42</v>
      </c>
      <c r="Z188" s="30" t="s">
        <v>171</v>
      </c>
      <c r="AA188" s="79" t="s">
        <v>44</v>
      </c>
    </row>
    <row r="189" spans="1:27" ht="42.75" customHeight="1" x14ac:dyDescent="0.25">
      <c r="A189" s="17" t="s">
        <v>378</v>
      </c>
      <c r="B189" s="74">
        <v>72102900</v>
      </c>
      <c r="C189" s="75" t="s">
        <v>473</v>
      </c>
      <c r="D189" s="75"/>
      <c r="E189" s="20">
        <v>43896</v>
      </c>
      <c r="F189" s="86" t="s">
        <v>82</v>
      </c>
      <c r="G189" s="86" t="s">
        <v>466</v>
      </c>
      <c r="H189" s="22">
        <v>6</v>
      </c>
      <c r="I189" s="87" t="s">
        <v>33</v>
      </c>
      <c r="J189" s="77" t="s">
        <v>70</v>
      </c>
      <c r="K189" s="77" t="s">
        <v>474</v>
      </c>
      <c r="L189" s="41" t="s">
        <v>471</v>
      </c>
      <c r="M189" s="26">
        <f t="shared" si="5"/>
        <v>12918065</v>
      </c>
      <c r="N189" s="26">
        <f t="shared" si="4"/>
        <v>12918065</v>
      </c>
      <c r="O189" s="26">
        <v>12918065</v>
      </c>
      <c r="P189" s="60"/>
      <c r="Q189" s="26"/>
      <c r="R189" s="26"/>
      <c r="S189" s="29" t="s">
        <v>37</v>
      </c>
      <c r="T189" s="29" t="s">
        <v>38</v>
      </c>
      <c r="U189" s="29"/>
      <c r="V189" s="29" t="s">
        <v>382</v>
      </c>
      <c r="W189" s="29" t="s">
        <v>170</v>
      </c>
      <c r="X189" s="29" t="s">
        <v>41</v>
      </c>
      <c r="Y189" s="29" t="s">
        <v>42</v>
      </c>
      <c r="Z189" s="30" t="s">
        <v>171</v>
      </c>
      <c r="AA189" s="79" t="s">
        <v>44</v>
      </c>
    </row>
    <row r="190" spans="1:27" ht="42.75" customHeight="1" x14ac:dyDescent="0.25">
      <c r="A190" s="17" t="s">
        <v>378</v>
      </c>
      <c r="B190" s="78" t="s">
        <v>475</v>
      </c>
      <c r="C190" s="75" t="s">
        <v>476</v>
      </c>
      <c r="D190" s="75"/>
      <c r="E190" s="20">
        <v>43924</v>
      </c>
      <c r="F190" s="37" t="s">
        <v>202</v>
      </c>
      <c r="G190" s="49" t="s">
        <v>115</v>
      </c>
      <c r="H190" s="22">
        <v>2</v>
      </c>
      <c r="I190" s="87" t="s">
        <v>33</v>
      </c>
      <c r="J190" s="77" t="s">
        <v>230</v>
      </c>
      <c r="K190" s="77" t="s">
        <v>477</v>
      </c>
      <c r="L190" s="78" t="s">
        <v>478</v>
      </c>
      <c r="M190" s="26">
        <f t="shared" si="5"/>
        <v>44525600</v>
      </c>
      <c r="N190" s="26">
        <f t="shared" si="4"/>
        <v>44525600</v>
      </c>
      <c r="O190" s="126">
        <f>10000000+1523320+33002280</f>
        <v>44525600</v>
      </c>
      <c r="P190" s="26">
        <v>0</v>
      </c>
      <c r="Q190" s="26"/>
      <c r="R190" s="26"/>
      <c r="S190" s="29" t="s">
        <v>37</v>
      </c>
      <c r="T190" s="29" t="s">
        <v>38</v>
      </c>
      <c r="U190" s="29" t="s">
        <v>72</v>
      </c>
      <c r="V190" s="29" t="s">
        <v>382</v>
      </c>
      <c r="W190" s="29" t="s">
        <v>170</v>
      </c>
      <c r="X190" s="29" t="s">
        <v>41</v>
      </c>
      <c r="Y190" s="29" t="s">
        <v>42</v>
      </c>
      <c r="Z190" s="30" t="s">
        <v>171</v>
      </c>
      <c r="AA190" s="79" t="s">
        <v>44</v>
      </c>
    </row>
    <row r="191" spans="1:27" ht="42.75" customHeight="1" x14ac:dyDescent="0.25">
      <c r="A191" s="17" t="s">
        <v>378</v>
      </c>
      <c r="B191" s="74" t="s">
        <v>479</v>
      </c>
      <c r="C191" s="75" t="s">
        <v>480</v>
      </c>
      <c r="D191" s="75"/>
      <c r="E191" s="20">
        <v>44012</v>
      </c>
      <c r="F191" s="37" t="s">
        <v>202</v>
      </c>
      <c r="G191" s="49" t="s">
        <v>115</v>
      </c>
      <c r="H191" s="22">
        <v>2</v>
      </c>
      <c r="I191" s="87" t="s">
        <v>33</v>
      </c>
      <c r="J191" s="77" t="s">
        <v>230</v>
      </c>
      <c r="K191" s="77" t="s">
        <v>477</v>
      </c>
      <c r="L191" s="41" t="s">
        <v>285</v>
      </c>
      <c r="M191" s="26">
        <f t="shared" si="5"/>
        <v>61981270</v>
      </c>
      <c r="N191" s="26">
        <f t="shared" si="4"/>
        <v>61981270</v>
      </c>
      <c r="O191" s="126">
        <f>50000000+11981270</f>
        <v>61981270</v>
      </c>
      <c r="P191" s="26">
        <v>0</v>
      </c>
      <c r="Q191" s="26"/>
      <c r="R191" s="26"/>
      <c r="S191" s="29" t="s">
        <v>37</v>
      </c>
      <c r="T191" s="29" t="s">
        <v>38</v>
      </c>
      <c r="U191" s="29" t="s">
        <v>72</v>
      </c>
      <c r="V191" s="29" t="s">
        <v>382</v>
      </c>
      <c r="W191" s="29" t="s">
        <v>170</v>
      </c>
      <c r="X191" s="29" t="s">
        <v>41</v>
      </c>
      <c r="Y191" s="29" t="s">
        <v>42</v>
      </c>
      <c r="Z191" s="30" t="s">
        <v>171</v>
      </c>
      <c r="AA191" s="79" t="s">
        <v>44</v>
      </c>
    </row>
    <row r="192" spans="1:27" ht="57.75" customHeight="1" x14ac:dyDescent="0.25">
      <c r="A192" s="17" t="s">
        <v>378</v>
      </c>
      <c r="B192" s="78" t="s">
        <v>481</v>
      </c>
      <c r="C192" s="75" t="s">
        <v>482</v>
      </c>
      <c r="D192" s="75"/>
      <c r="E192" s="20">
        <v>43896</v>
      </c>
      <c r="F192" s="86" t="s">
        <v>82</v>
      </c>
      <c r="G192" s="86" t="s">
        <v>53</v>
      </c>
      <c r="H192" s="22">
        <v>6</v>
      </c>
      <c r="I192" s="87" t="s">
        <v>33</v>
      </c>
      <c r="J192" s="75" t="s">
        <v>198</v>
      </c>
      <c r="K192" s="77" t="s">
        <v>483</v>
      </c>
      <c r="L192" s="80" t="s">
        <v>36</v>
      </c>
      <c r="M192" s="26">
        <f t="shared" si="5"/>
        <v>112598574</v>
      </c>
      <c r="N192" s="26">
        <f t="shared" si="4"/>
        <v>112598574</v>
      </c>
      <c r="O192" s="126">
        <v>112598574</v>
      </c>
      <c r="P192" s="26">
        <v>0</v>
      </c>
      <c r="Q192" s="26"/>
      <c r="R192" s="26"/>
      <c r="S192" s="29" t="s">
        <v>37</v>
      </c>
      <c r="T192" s="29" t="s">
        <v>38</v>
      </c>
      <c r="U192" s="29" t="s">
        <v>98</v>
      </c>
      <c r="V192" s="29" t="s">
        <v>382</v>
      </c>
      <c r="W192" s="29" t="s">
        <v>170</v>
      </c>
      <c r="X192" s="29" t="s">
        <v>41</v>
      </c>
      <c r="Y192" s="29" t="s">
        <v>42</v>
      </c>
      <c r="Z192" s="30" t="s">
        <v>171</v>
      </c>
      <c r="AA192" s="79" t="s">
        <v>44</v>
      </c>
    </row>
    <row r="193" spans="1:27" ht="42.75" customHeight="1" x14ac:dyDescent="0.25">
      <c r="A193" s="17" t="s">
        <v>378</v>
      </c>
      <c r="B193" s="74" t="s">
        <v>484</v>
      </c>
      <c r="C193" s="75" t="s">
        <v>485</v>
      </c>
      <c r="D193" s="75"/>
      <c r="E193" s="20">
        <v>43896</v>
      </c>
      <c r="F193" s="86" t="s">
        <v>82</v>
      </c>
      <c r="G193" s="86" t="s">
        <v>53</v>
      </c>
      <c r="H193" s="22">
        <v>7</v>
      </c>
      <c r="I193" s="87" t="s">
        <v>33</v>
      </c>
      <c r="J193" s="77" t="s">
        <v>70</v>
      </c>
      <c r="K193" s="77" t="s">
        <v>486</v>
      </c>
      <c r="L193" s="41" t="s">
        <v>36</v>
      </c>
      <c r="M193" s="26">
        <f t="shared" si="5"/>
        <v>205981600</v>
      </c>
      <c r="N193" s="26">
        <f t="shared" si="4"/>
        <v>205981600</v>
      </c>
      <c r="O193" s="127">
        <f>131540968+57981600+5000000</f>
        <v>194522568</v>
      </c>
      <c r="P193" s="128">
        <v>11459032</v>
      </c>
      <c r="Q193" s="26"/>
      <c r="R193" s="26"/>
      <c r="S193" s="29" t="s">
        <v>37</v>
      </c>
      <c r="T193" s="29" t="s">
        <v>38</v>
      </c>
      <c r="U193" s="29" t="s">
        <v>72</v>
      </c>
      <c r="V193" s="29" t="s">
        <v>382</v>
      </c>
      <c r="W193" s="29" t="s">
        <v>170</v>
      </c>
      <c r="X193" s="29" t="s">
        <v>41</v>
      </c>
      <c r="Y193" s="29" t="s">
        <v>42</v>
      </c>
      <c r="Z193" s="30" t="s">
        <v>171</v>
      </c>
      <c r="AA193" s="79" t="s">
        <v>44</v>
      </c>
    </row>
    <row r="194" spans="1:27" ht="42.75" customHeight="1" x14ac:dyDescent="0.25">
      <c r="A194" s="17" t="s">
        <v>378</v>
      </c>
      <c r="B194" s="74">
        <v>84131503</v>
      </c>
      <c r="C194" s="75" t="s">
        <v>487</v>
      </c>
      <c r="D194" s="75"/>
      <c r="E194" s="20"/>
      <c r="F194" s="29"/>
      <c r="G194" s="34"/>
      <c r="H194" s="22"/>
      <c r="I194" s="89" t="s">
        <v>180</v>
      </c>
      <c r="J194" s="75"/>
      <c r="K194" s="77" t="s">
        <v>488</v>
      </c>
      <c r="L194" s="41" t="s">
        <v>489</v>
      </c>
      <c r="M194" s="26">
        <f>+N194+Q194+R194</f>
        <v>2316600</v>
      </c>
      <c r="N194" s="26">
        <f t="shared" si="4"/>
        <v>2316600</v>
      </c>
      <c r="O194" s="88">
        <v>2316600</v>
      </c>
      <c r="P194" s="26"/>
      <c r="Q194" s="26"/>
      <c r="R194" s="26"/>
      <c r="S194" s="29" t="s">
        <v>37</v>
      </c>
      <c r="T194" s="29" t="s">
        <v>38</v>
      </c>
      <c r="U194" s="29" t="s">
        <v>98</v>
      </c>
      <c r="V194" s="29" t="s">
        <v>382</v>
      </c>
      <c r="W194" s="29" t="s">
        <v>170</v>
      </c>
      <c r="X194" s="29" t="s">
        <v>41</v>
      </c>
      <c r="Y194" s="29" t="s">
        <v>42</v>
      </c>
      <c r="Z194" s="30" t="s">
        <v>171</v>
      </c>
      <c r="AA194" s="79" t="s">
        <v>44</v>
      </c>
    </row>
    <row r="195" spans="1:27" ht="83.5" customHeight="1" x14ac:dyDescent="0.25">
      <c r="A195" s="17" t="s">
        <v>378</v>
      </c>
      <c r="B195" s="74">
        <v>84131503</v>
      </c>
      <c r="C195" s="75" t="s">
        <v>490</v>
      </c>
      <c r="D195" s="75"/>
      <c r="E195" s="20">
        <v>43868</v>
      </c>
      <c r="F195" s="29" t="s">
        <v>89</v>
      </c>
      <c r="G195" s="34" t="s">
        <v>82</v>
      </c>
      <c r="H195" s="22">
        <v>1798</v>
      </c>
      <c r="I195" s="89" t="s">
        <v>180</v>
      </c>
      <c r="J195" s="75" t="s">
        <v>144</v>
      </c>
      <c r="K195" s="77" t="s">
        <v>488</v>
      </c>
      <c r="L195" s="41" t="s">
        <v>489</v>
      </c>
      <c r="M195" s="26">
        <f t="shared" si="5"/>
        <v>785681371</v>
      </c>
      <c r="N195" s="26">
        <f t="shared" si="4"/>
        <v>785681371</v>
      </c>
      <c r="O195" s="88">
        <f>1255597858-92141008-60943295-316832184</f>
        <v>785681371</v>
      </c>
      <c r="P195" s="26"/>
      <c r="Q195" s="26"/>
      <c r="R195" s="26"/>
      <c r="S195" s="29" t="s">
        <v>37</v>
      </c>
      <c r="T195" s="29" t="s">
        <v>38</v>
      </c>
      <c r="U195" s="29" t="s">
        <v>98</v>
      </c>
      <c r="V195" s="29" t="s">
        <v>382</v>
      </c>
      <c r="W195" s="29" t="s">
        <v>170</v>
      </c>
      <c r="X195" s="29" t="s">
        <v>41</v>
      </c>
      <c r="Y195" s="29" t="s">
        <v>42</v>
      </c>
      <c r="Z195" s="30" t="s">
        <v>171</v>
      </c>
      <c r="AA195" s="79" t="s">
        <v>44</v>
      </c>
    </row>
    <row r="196" spans="1:27" ht="42.75" customHeight="1" x14ac:dyDescent="0.25">
      <c r="A196" s="17" t="s">
        <v>378</v>
      </c>
      <c r="B196" s="74">
        <v>84131503</v>
      </c>
      <c r="C196" s="75" t="s">
        <v>491</v>
      </c>
      <c r="D196" s="75"/>
      <c r="E196" s="20"/>
      <c r="F196" s="29" t="s">
        <v>82</v>
      </c>
      <c r="G196" s="34" t="s">
        <v>53</v>
      </c>
      <c r="H196" s="22">
        <v>1</v>
      </c>
      <c r="I196" s="89" t="s">
        <v>492</v>
      </c>
      <c r="J196" s="75" t="s">
        <v>173</v>
      </c>
      <c r="K196" s="77" t="s">
        <v>488</v>
      </c>
      <c r="L196" s="41" t="s">
        <v>489</v>
      </c>
      <c r="M196" s="26">
        <f>+N196+Q196+R196</f>
        <v>59152057</v>
      </c>
      <c r="N196" s="26">
        <f t="shared" si="4"/>
        <v>59152057</v>
      </c>
      <c r="O196" s="88">
        <f>1255597858-1102513555-60943295-32988951</f>
        <v>59152057</v>
      </c>
      <c r="P196" s="26"/>
      <c r="Q196" s="26"/>
      <c r="R196" s="26"/>
      <c r="S196" s="29" t="s">
        <v>37</v>
      </c>
      <c r="T196" s="29" t="s">
        <v>38</v>
      </c>
      <c r="U196" s="29" t="s">
        <v>98</v>
      </c>
      <c r="V196" s="29" t="s">
        <v>382</v>
      </c>
      <c r="W196" s="29" t="s">
        <v>170</v>
      </c>
      <c r="X196" s="29" t="s">
        <v>41</v>
      </c>
      <c r="Y196" s="29" t="s">
        <v>42</v>
      </c>
      <c r="Z196" s="30" t="s">
        <v>171</v>
      </c>
      <c r="AA196" s="79" t="s">
        <v>44</v>
      </c>
    </row>
    <row r="197" spans="1:27" ht="42.75" customHeight="1" x14ac:dyDescent="0.25">
      <c r="A197" s="17" t="s">
        <v>378</v>
      </c>
      <c r="B197" s="18"/>
      <c r="C197" s="75" t="s">
        <v>493</v>
      </c>
      <c r="D197" s="33"/>
      <c r="E197" s="20"/>
      <c r="F197" s="29"/>
      <c r="G197" s="34"/>
      <c r="H197" s="22"/>
      <c r="I197" s="40"/>
      <c r="J197" s="19"/>
      <c r="K197" s="29" t="s">
        <v>488</v>
      </c>
      <c r="L197" s="24"/>
      <c r="M197" s="26">
        <f>+N197+Q197+R197</f>
        <v>140551383</v>
      </c>
      <c r="N197" s="26">
        <f t="shared" si="4"/>
        <v>140551383</v>
      </c>
      <c r="O197" s="88">
        <f>347504535-34662280-83766355-5840896-13223411-10121338 -59338872</f>
        <v>140551383</v>
      </c>
      <c r="P197" s="26"/>
      <c r="Q197" s="38"/>
      <c r="R197" s="26"/>
      <c r="S197" s="29"/>
      <c r="T197" s="29"/>
      <c r="U197" s="29" t="s">
        <v>46</v>
      </c>
      <c r="V197" s="29"/>
      <c r="W197" s="29"/>
      <c r="X197" s="29"/>
      <c r="Y197" s="29"/>
      <c r="Z197" s="30"/>
      <c r="AA197" s="39"/>
    </row>
    <row r="198" spans="1:27" ht="75" customHeight="1" x14ac:dyDescent="0.25">
      <c r="A198" s="17" t="s">
        <v>378</v>
      </c>
      <c r="B198" s="74">
        <v>84131503</v>
      </c>
      <c r="C198" s="75" t="s">
        <v>494</v>
      </c>
      <c r="D198" s="75"/>
      <c r="E198" s="20">
        <v>43868</v>
      </c>
      <c r="F198" s="29" t="s">
        <v>89</v>
      </c>
      <c r="G198" s="34" t="s">
        <v>82</v>
      </c>
      <c r="H198" s="22">
        <v>1799</v>
      </c>
      <c r="I198" s="89" t="s">
        <v>180</v>
      </c>
      <c r="J198" s="75" t="s">
        <v>144</v>
      </c>
      <c r="K198" s="77" t="s">
        <v>488</v>
      </c>
      <c r="L198" s="41" t="s">
        <v>495</v>
      </c>
      <c r="M198" s="26">
        <f>+N198+Q198+R198</f>
        <v>15068059</v>
      </c>
      <c r="N198" s="26">
        <f t="shared" si="4"/>
        <v>15068059</v>
      </c>
      <c r="O198" s="88"/>
      <c r="P198" s="26">
        <v>15068059</v>
      </c>
      <c r="Q198" s="26"/>
      <c r="R198" s="26"/>
      <c r="S198" s="29" t="s">
        <v>37</v>
      </c>
      <c r="T198" s="29" t="s">
        <v>38</v>
      </c>
      <c r="U198" s="29" t="s">
        <v>98</v>
      </c>
      <c r="V198" s="29" t="s">
        <v>382</v>
      </c>
      <c r="W198" s="29" t="s">
        <v>170</v>
      </c>
      <c r="X198" s="29" t="s">
        <v>41</v>
      </c>
      <c r="Y198" s="29" t="s">
        <v>42</v>
      </c>
      <c r="Z198" s="30" t="s">
        <v>184</v>
      </c>
      <c r="AA198" s="79" t="s">
        <v>44</v>
      </c>
    </row>
    <row r="199" spans="1:27" ht="75" customHeight="1" x14ac:dyDescent="0.25">
      <c r="A199" s="17" t="s">
        <v>378</v>
      </c>
      <c r="B199" s="74">
        <v>84131503</v>
      </c>
      <c r="C199" s="75" t="s">
        <v>496</v>
      </c>
      <c r="D199" s="75"/>
      <c r="E199" s="20"/>
      <c r="F199" s="29"/>
      <c r="G199" s="34"/>
      <c r="H199" s="22"/>
      <c r="I199" s="89"/>
      <c r="J199" s="75"/>
      <c r="K199" s="77" t="s">
        <v>488</v>
      </c>
      <c r="L199" s="41" t="s">
        <v>495</v>
      </c>
      <c r="M199" s="26">
        <f>+N199+Q199+R199</f>
        <v>99596485</v>
      </c>
      <c r="N199" s="26">
        <f t="shared" ref="N199:N214" si="6">+O199+P199</f>
        <v>99596485</v>
      </c>
      <c r="O199" s="88">
        <f>65592320+36910000-2905835</f>
        <v>99596485</v>
      </c>
      <c r="P199" s="26"/>
      <c r="Q199" s="26"/>
      <c r="R199" s="26"/>
      <c r="S199" s="29" t="s">
        <v>37</v>
      </c>
      <c r="T199" s="29" t="s">
        <v>38</v>
      </c>
      <c r="U199" s="29" t="s">
        <v>98</v>
      </c>
      <c r="V199" s="29" t="s">
        <v>382</v>
      </c>
      <c r="W199" s="29" t="s">
        <v>170</v>
      </c>
      <c r="X199" s="29" t="s">
        <v>41</v>
      </c>
      <c r="Y199" s="29" t="s">
        <v>42</v>
      </c>
      <c r="Z199" s="30" t="s">
        <v>184</v>
      </c>
      <c r="AA199" s="79" t="s">
        <v>44</v>
      </c>
    </row>
    <row r="200" spans="1:27" ht="42.75" customHeight="1" x14ac:dyDescent="0.25">
      <c r="A200" s="17" t="s">
        <v>378</v>
      </c>
      <c r="B200" s="74">
        <v>46182200</v>
      </c>
      <c r="C200" s="75" t="s">
        <v>497</v>
      </c>
      <c r="D200" s="75"/>
      <c r="E200" s="20">
        <v>43921</v>
      </c>
      <c r="F200" s="29" t="s">
        <v>82</v>
      </c>
      <c r="G200" s="29" t="s">
        <v>53</v>
      </c>
      <c r="H200" s="22">
        <v>2</v>
      </c>
      <c r="I200" s="87" t="s">
        <v>33</v>
      </c>
      <c r="J200" s="77" t="s">
        <v>70</v>
      </c>
      <c r="K200" s="77" t="s">
        <v>477</v>
      </c>
      <c r="L200" s="41" t="s">
        <v>285</v>
      </c>
      <c r="M200" s="26">
        <f t="shared" si="5"/>
        <v>42050599</v>
      </c>
      <c r="N200" s="26">
        <f t="shared" si="6"/>
        <v>42050599</v>
      </c>
      <c r="O200" s="26">
        <f>34000000+8050599</f>
        <v>42050599</v>
      </c>
      <c r="P200" s="26"/>
      <c r="Q200" s="26"/>
      <c r="R200" s="26"/>
      <c r="S200" s="29" t="s">
        <v>37</v>
      </c>
      <c r="T200" s="29" t="s">
        <v>38</v>
      </c>
      <c r="U200" s="29" t="s">
        <v>72</v>
      </c>
      <c r="V200" s="29" t="s">
        <v>382</v>
      </c>
      <c r="W200" s="29" t="s">
        <v>170</v>
      </c>
      <c r="X200" s="29" t="s">
        <v>41</v>
      </c>
      <c r="Y200" s="29" t="s">
        <v>42</v>
      </c>
      <c r="Z200" s="30" t="s">
        <v>171</v>
      </c>
      <c r="AA200" s="79" t="s">
        <v>44</v>
      </c>
    </row>
    <row r="201" spans="1:27" ht="42.75" customHeight="1" x14ac:dyDescent="0.25">
      <c r="A201" s="17" t="s">
        <v>378</v>
      </c>
      <c r="B201" s="74">
        <v>46191600</v>
      </c>
      <c r="C201" s="75" t="s">
        <v>498</v>
      </c>
      <c r="D201" s="75"/>
      <c r="E201" s="20">
        <v>43921</v>
      </c>
      <c r="F201" s="78" t="s">
        <v>89</v>
      </c>
      <c r="G201" s="78" t="s">
        <v>53</v>
      </c>
      <c r="H201" s="22">
        <v>2</v>
      </c>
      <c r="I201" s="87" t="s">
        <v>33</v>
      </c>
      <c r="J201" s="129" t="s">
        <v>173</v>
      </c>
      <c r="K201" s="77" t="s">
        <v>477</v>
      </c>
      <c r="L201" s="41" t="s">
        <v>285</v>
      </c>
      <c r="M201" s="26">
        <f t="shared" si="5"/>
        <v>35216052</v>
      </c>
      <c r="N201" s="26">
        <f t="shared" si="6"/>
        <v>35216052</v>
      </c>
      <c r="O201" s="126">
        <f xml:space="preserve"> 26032052+9184000</f>
        <v>35216052</v>
      </c>
      <c r="P201" s="26"/>
      <c r="Q201" s="26"/>
      <c r="R201" s="26"/>
      <c r="S201" s="29" t="s">
        <v>37</v>
      </c>
      <c r="T201" s="29" t="s">
        <v>38</v>
      </c>
      <c r="U201" s="29" t="s">
        <v>72</v>
      </c>
      <c r="V201" s="29" t="s">
        <v>382</v>
      </c>
      <c r="W201" s="29" t="s">
        <v>170</v>
      </c>
      <c r="X201" s="29" t="s">
        <v>41</v>
      </c>
      <c r="Y201" s="29" t="s">
        <v>42</v>
      </c>
      <c r="Z201" s="30" t="s">
        <v>171</v>
      </c>
      <c r="AA201" s="79" t="s">
        <v>44</v>
      </c>
    </row>
    <row r="202" spans="1:27" ht="42.75" customHeight="1" x14ac:dyDescent="0.25">
      <c r="A202" s="17" t="s">
        <v>378</v>
      </c>
      <c r="B202" s="18">
        <v>42192200</v>
      </c>
      <c r="C202" s="19" t="s">
        <v>499</v>
      </c>
      <c r="D202" s="19"/>
      <c r="E202" s="20">
        <v>43921</v>
      </c>
      <c r="F202" s="21" t="s">
        <v>53</v>
      </c>
      <c r="G202" s="21" t="s">
        <v>32</v>
      </c>
      <c r="H202" s="30">
        <v>2</v>
      </c>
      <c r="I202" s="23" t="s">
        <v>33</v>
      </c>
      <c r="J202" s="19" t="s">
        <v>230</v>
      </c>
      <c r="K202" s="29" t="s">
        <v>477</v>
      </c>
      <c r="L202" s="24" t="s">
        <v>285</v>
      </c>
      <c r="M202" s="26">
        <f t="shared" si="5"/>
        <v>11205835</v>
      </c>
      <c r="N202" s="26">
        <f t="shared" si="6"/>
        <v>11205835</v>
      </c>
      <c r="O202" s="26">
        <f>8300000+2905835</f>
        <v>11205835</v>
      </c>
      <c r="P202" s="26">
        <v>0</v>
      </c>
      <c r="Q202" s="26"/>
      <c r="R202" s="26"/>
      <c r="S202" s="29" t="s">
        <v>37</v>
      </c>
      <c r="T202" s="29" t="s">
        <v>38</v>
      </c>
      <c r="U202" s="29" t="s">
        <v>72</v>
      </c>
      <c r="V202" s="29" t="s">
        <v>382</v>
      </c>
      <c r="W202" s="29" t="s">
        <v>170</v>
      </c>
      <c r="X202" s="29" t="s">
        <v>41</v>
      </c>
      <c r="Y202" s="29" t="s">
        <v>42</v>
      </c>
      <c r="Z202" s="30" t="s">
        <v>171</v>
      </c>
      <c r="AA202" s="39" t="s">
        <v>44</v>
      </c>
    </row>
    <row r="203" spans="1:27" ht="91" customHeight="1" x14ac:dyDescent="0.25">
      <c r="A203" s="17" t="s">
        <v>378</v>
      </c>
      <c r="B203" s="18" t="s">
        <v>500</v>
      </c>
      <c r="C203" s="19" t="s">
        <v>501</v>
      </c>
      <c r="D203" s="19"/>
      <c r="E203" s="130">
        <v>43921</v>
      </c>
      <c r="F203" s="21" t="s">
        <v>32</v>
      </c>
      <c r="G203" s="21" t="s">
        <v>202</v>
      </c>
      <c r="H203" s="22">
        <v>7</v>
      </c>
      <c r="I203" s="23" t="s">
        <v>33</v>
      </c>
      <c r="J203" s="19" t="s">
        <v>230</v>
      </c>
      <c r="K203" s="29" t="s">
        <v>502</v>
      </c>
      <c r="L203" s="24" t="s">
        <v>503</v>
      </c>
      <c r="M203" s="26">
        <f t="shared" si="5"/>
        <v>21000000</v>
      </c>
      <c r="N203" s="26">
        <f t="shared" si="6"/>
        <v>21000000</v>
      </c>
      <c r="O203" s="26">
        <f>10500000-6080852+5840896</f>
        <v>10260044</v>
      </c>
      <c r="P203" s="26">
        <f>9000000+1739956</f>
        <v>10739956</v>
      </c>
      <c r="Q203" s="26"/>
      <c r="R203" s="26"/>
      <c r="S203" s="29" t="s">
        <v>37</v>
      </c>
      <c r="T203" s="29" t="s">
        <v>38</v>
      </c>
      <c r="U203" s="29" t="s">
        <v>72</v>
      </c>
      <c r="V203" s="29" t="s">
        <v>382</v>
      </c>
      <c r="W203" s="29" t="s">
        <v>170</v>
      </c>
      <c r="X203" s="29" t="s">
        <v>41</v>
      </c>
      <c r="Y203" s="29" t="s">
        <v>42</v>
      </c>
      <c r="Z203" s="30" t="s">
        <v>171</v>
      </c>
      <c r="AA203" s="39" t="s">
        <v>44</v>
      </c>
    </row>
    <row r="204" spans="1:27" ht="77.150000000000006" customHeight="1" x14ac:dyDescent="0.25">
      <c r="A204" s="17" t="s">
        <v>378</v>
      </c>
      <c r="B204" s="18">
        <v>30162303</v>
      </c>
      <c r="C204" s="19" t="s">
        <v>504</v>
      </c>
      <c r="D204" s="19"/>
      <c r="E204" s="20">
        <v>43917</v>
      </c>
      <c r="F204" s="21" t="s">
        <v>505</v>
      </c>
      <c r="G204" s="21" t="s">
        <v>202</v>
      </c>
      <c r="H204" s="22">
        <v>2</v>
      </c>
      <c r="I204" s="40" t="s">
        <v>33</v>
      </c>
      <c r="J204" s="19" t="s">
        <v>230</v>
      </c>
      <c r="K204" s="29" t="s">
        <v>506</v>
      </c>
      <c r="L204" s="24" t="s">
        <v>507</v>
      </c>
      <c r="M204" s="26">
        <f t="shared" si="5"/>
        <v>5792325</v>
      </c>
      <c r="N204" s="26">
        <f t="shared" si="6"/>
        <v>5792325</v>
      </c>
      <c r="O204" s="26">
        <f>6080852-288527</f>
        <v>5792325</v>
      </c>
      <c r="P204" s="26">
        <f>9000000-9000000</f>
        <v>0</v>
      </c>
      <c r="Q204" s="26"/>
      <c r="R204" s="26"/>
      <c r="S204" s="29" t="s">
        <v>37</v>
      </c>
      <c r="T204" s="29" t="s">
        <v>38</v>
      </c>
      <c r="U204" s="29" t="s">
        <v>98</v>
      </c>
      <c r="V204" s="29" t="s">
        <v>382</v>
      </c>
      <c r="W204" s="29" t="s">
        <v>170</v>
      </c>
      <c r="X204" s="29" t="s">
        <v>41</v>
      </c>
      <c r="Y204" s="29" t="s">
        <v>42</v>
      </c>
      <c r="Z204" s="30" t="s">
        <v>171</v>
      </c>
      <c r="AA204" s="39" t="s">
        <v>44</v>
      </c>
    </row>
    <row r="205" spans="1:27" ht="77.150000000000006" customHeight="1" x14ac:dyDescent="0.25">
      <c r="A205" s="17" t="s">
        <v>378</v>
      </c>
      <c r="B205" s="18">
        <v>30162303</v>
      </c>
      <c r="C205" s="19" t="s">
        <v>508</v>
      </c>
      <c r="D205" s="19"/>
      <c r="E205" s="20"/>
      <c r="F205" s="21"/>
      <c r="G205" s="21"/>
      <c r="H205" s="22"/>
      <c r="I205" s="40"/>
      <c r="J205" s="19"/>
      <c r="K205" s="29" t="s">
        <v>506</v>
      </c>
      <c r="L205" s="24" t="s">
        <v>507</v>
      </c>
      <c r="M205" s="26">
        <f t="shared" si="5"/>
        <v>288527</v>
      </c>
      <c r="N205" s="26">
        <f t="shared" si="6"/>
        <v>288527</v>
      </c>
      <c r="O205" s="26">
        <f>6080852-5792325</f>
        <v>288527</v>
      </c>
      <c r="P205" s="26">
        <f>9000000-9000000</f>
        <v>0</v>
      </c>
      <c r="Q205" s="26"/>
      <c r="R205" s="26"/>
      <c r="S205" s="29"/>
      <c r="T205" s="29"/>
      <c r="U205" s="29" t="s">
        <v>46</v>
      </c>
      <c r="V205" s="29" t="s">
        <v>382</v>
      </c>
      <c r="W205" s="29" t="s">
        <v>170</v>
      </c>
      <c r="X205" s="29" t="s">
        <v>41</v>
      </c>
      <c r="Y205" s="29" t="s">
        <v>42</v>
      </c>
      <c r="Z205" s="30" t="s">
        <v>171</v>
      </c>
      <c r="AA205" s="39" t="s">
        <v>44</v>
      </c>
    </row>
    <row r="206" spans="1:27" ht="99.75" customHeight="1" x14ac:dyDescent="0.25">
      <c r="A206" s="17" t="s">
        <v>509</v>
      </c>
      <c r="B206" s="24">
        <v>82101500</v>
      </c>
      <c r="C206" s="19" t="s">
        <v>510</v>
      </c>
      <c r="D206" s="19"/>
      <c r="E206" s="20">
        <v>43868</v>
      </c>
      <c r="F206" s="90" t="s">
        <v>89</v>
      </c>
      <c r="G206" s="90" t="s">
        <v>89</v>
      </c>
      <c r="H206" s="90" t="s">
        <v>511</v>
      </c>
      <c r="I206" s="90" t="s">
        <v>33</v>
      </c>
      <c r="J206" s="19" t="s">
        <v>34</v>
      </c>
      <c r="K206" s="24" t="s">
        <v>512</v>
      </c>
      <c r="L206" s="41" t="s">
        <v>285</v>
      </c>
      <c r="M206" s="26">
        <f t="shared" si="5"/>
        <v>200000000</v>
      </c>
      <c r="N206" s="26">
        <f t="shared" si="6"/>
        <v>200000000</v>
      </c>
      <c r="O206" s="26">
        <f>192050000+7950000</f>
        <v>200000000</v>
      </c>
      <c r="P206" s="26">
        <v>0</v>
      </c>
      <c r="Q206" s="26"/>
      <c r="R206" s="26"/>
      <c r="S206" s="29" t="s">
        <v>37</v>
      </c>
      <c r="T206" s="29" t="s">
        <v>38</v>
      </c>
      <c r="U206" s="29" t="s">
        <v>98</v>
      </c>
      <c r="V206" s="29" t="s">
        <v>513</v>
      </c>
      <c r="W206" s="29" t="s">
        <v>170</v>
      </c>
      <c r="X206" s="29" t="s">
        <v>41</v>
      </c>
      <c r="Y206" s="29" t="s">
        <v>42</v>
      </c>
      <c r="Z206" s="30" t="s">
        <v>171</v>
      </c>
      <c r="AA206" s="39" t="s">
        <v>44</v>
      </c>
    </row>
    <row r="207" spans="1:27" ht="128.25" customHeight="1" x14ac:dyDescent="0.25">
      <c r="A207" s="17" t="s">
        <v>509</v>
      </c>
      <c r="B207" s="24" t="s">
        <v>514</v>
      </c>
      <c r="C207" s="19" t="s">
        <v>515</v>
      </c>
      <c r="D207" s="19"/>
      <c r="E207" s="20">
        <v>43854</v>
      </c>
      <c r="F207" s="90" t="s">
        <v>89</v>
      </c>
      <c r="G207" s="90" t="s">
        <v>82</v>
      </c>
      <c r="H207" s="90" t="s">
        <v>516</v>
      </c>
      <c r="I207" s="90" t="s">
        <v>33</v>
      </c>
      <c r="J207" s="19" t="s">
        <v>144</v>
      </c>
      <c r="K207" s="24" t="s">
        <v>517</v>
      </c>
      <c r="L207" s="41" t="s">
        <v>36</v>
      </c>
      <c r="M207" s="26">
        <f t="shared" si="5"/>
        <v>2000000000</v>
      </c>
      <c r="N207" s="26">
        <f t="shared" si="6"/>
        <v>2000000000</v>
      </c>
      <c r="O207" s="26">
        <v>2000000000</v>
      </c>
      <c r="P207" s="26">
        <v>0</v>
      </c>
      <c r="Q207" s="26"/>
      <c r="R207" s="26"/>
      <c r="S207" s="29" t="s">
        <v>37</v>
      </c>
      <c r="T207" s="29" t="s">
        <v>38</v>
      </c>
      <c r="U207" s="29" t="s">
        <v>72</v>
      </c>
      <c r="V207" s="29" t="s">
        <v>513</v>
      </c>
      <c r="W207" s="29" t="s">
        <v>170</v>
      </c>
      <c r="X207" s="29" t="s">
        <v>41</v>
      </c>
      <c r="Y207" s="29" t="s">
        <v>42</v>
      </c>
      <c r="Z207" s="30" t="s">
        <v>171</v>
      </c>
      <c r="AA207" s="39" t="s">
        <v>44</v>
      </c>
    </row>
    <row r="208" spans="1:27" ht="71.25" customHeight="1" x14ac:dyDescent="0.25">
      <c r="A208" s="17" t="s">
        <v>509</v>
      </c>
      <c r="B208" s="24">
        <v>83121700</v>
      </c>
      <c r="C208" s="19" t="s">
        <v>518</v>
      </c>
      <c r="D208" s="19"/>
      <c r="E208" s="20">
        <v>43854</v>
      </c>
      <c r="F208" s="90" t="s">
        <v>82</v>
      </c>
      <c r="G208" s="90" t="s">
        <v>53</v>
      </c>
      <c r="H208" s="90" t="s">
        <v>519</v>
      </c>
      <c r="I208" s="90" t="s">
        <v>33</v>
      </c>
      <c r="J208" s="19" t="s">
        <v>70</v>
      </c>
      <c r="K208" s="24" t="s">
        <v>517</v>
      </c>
      <c r="L208" s="41" t="s">
        <v>36</v>
      </c>
      <c r="M208" s="26">
        <f t="shared" si="5"/>
        <v>42677367</v>
      </c>
      <c r="N208" s="26">
        <f t="shared" si="6"/>
        <v>42677367</v>
      </c>
      <c r="O208" s="26">
        <f>86000000-43322633</f>
        <v>42677367</v>
      </c>
      <c r="P208" s="26">
        <v>0</v>
      </c>
      <c r="Q208" s="26"/>
      <c r="R208" s="26"/>
      <c r="S208" s="29" t="s">
        <v>37</v>
      </c>
      <c r="T208" s="29" t="s">
        <v>38</v>
      </c>
      <c r="U208" s="29" t="s">
        <v>98</v>
      </c>
      <c r="V208" s="29" t="s">
        <v>513</v>
      </c>
      <c r="W208" s="29" t="s">
        <v>170</v>
      </c>
      <c r="X208" s="29" t="s">
        <v>41</v>
      </c>
      <c r="Y208" s="29" t="s">
        <v>42</v>
      </c>
      <c r="Z208" s="30" t="s">
        <v>171</v>
      </c>
      <c r="AA208" s="39" t="s">
        <v>44</v>
      </c>
    </row>
    <row r="209" spans="1:27" ht="71.25" customHeight="1" x14ac:dyDescent="0.25">
      <c r="A209" s="17" t="s">
        <v>509</v>
      </c>
      <c r="B209" s="24">
        <v>83121701</v>
      </c>
      <c r="C209" s="19" t="s">
        <v>520</v>
      </c>
      <c r="D209" s="19"/>
      <c r="E209" s="20"/>
      <c r="F209" s="90"/>
      <c r="G209" s="90"/>
      <c r="H209" s="90"/>
      <c r="I209" s="90"/>
      <c r="J209" s="19"/>
      <c r="K209" s="24" t="s">
        <v>517</v>
      </c>
      <c r="L209" s="41" t="s">
        <v>109</v>
      </c>
      <c r="M209" s="26">
        <f>+N209+Q209+R209</f>
        <v>43322633</v>
      </c>
      <c r="N209" s="26">
        <f t="shared" si="6"/>
        <v>43322633</v>
      </c>
      <c r="O209" s="26">
        <f>86000000-42677367</f>
        <v>43322633</v>
      </c>
      <c r="P209" s="26">
        <v>0</v>
      </c>
      <c r="Q209" s="26"/>
      <c r="R209" s="26"/>
      <c r="S209" s="29"/>
      <c r="T209" s="29"/>
      <c r="U209" s="29" t="s">
        <v>46</v>
      </c>
      <c r="V209" s="29" t="s">
        <v>513</v>
      </c>
      <c r="W209" s="29" t="s">
        <v>170</v>
      </c>
      <c r="X209" s="29" t="s">
        <v>41</v>
      </c>
      <c r="Y209" s="29" t="s">
        <v>42</v>
      </c>
      <c r="Z209" s="30" t="s">
        <v>184</v>
      </c>
      <c r="AA209" s="39" t="s">
        <v>44</v>
      </c>
    </row>
    <row r="210" spans="1:27" ht="85.5" customHeight="1" x14ac:dyDescent="0.25">
      <c r="A210" s="17" t="s">
        <v>509</v>
      </c>
      <c r="B210" s="24" t="s">
        <v>521</v>
      </c>
      <c r="C210" s="19" t="s">
        <v>143</v>
      </c>
      <c r="D210" s="19"/>
      <c r="E210" s="20">
        <v>43889</v>
      </c>
      <c r="F210" s="29" t="s">
        <v>89</v>
      </c>
      <c r="G210" s="34" t="s">
        <v>53</v>
      </c>
      <c r="H210" s="35">
        <v>8</v>
      </c>
      <c r="I210" s="29" t="s">
        <v>33</v>
      </c>
      <c r="J210" s="19" t="s">
        <v>144</v>
      </c>
      <c r="K210" s="24" t="s">
        <v>522</v>
      </c>
      <c r="L210" s="41" t="s">
        <v>36</v>
      </c>
      <c r="M210" s="26">
        <f t="shared" si="5"/>
        <v>125000000</v>
      </c>
      <c r="N210" s="26">
        <f t="shared" si="6"/>
        <v>125000000</v>
      </c>
      <c r="O210" s="26">
        <v>125000000</v>
      </c>
      <c r="P210" s="26">
        <v>0</v>
      </c>
      <c r="Q210" s="26"/>
      <c r="R210" s="26"/>
      <c r="S210" s="29" t="s">
        <v>37</v>
      </c>
      <c r="T210" s="29" t="s">
        <v>38</v>
      </c>
      <c r="U210" s="29" t="s">
        <v>72</v>
      </c>
      <c r="V210" s="29" t="s">
        <v>513</v>
      </c>
      <c r="W210" s="29" t="s">
        <v>170</v>
      </c>
      <c r="X210" s="29" t="s">
        <v>41</v>
      </c>
      <c r="Y210" s="29" t="s">
        <v>42</v>
      </c>
      <c r="Z210" s="30" t="s">
        <v>171</v>
      </c>
      <c r="AA210" s="39" t="s">
        <v>44</v>
      </c>
    </row>
    <row r="211" spans="1:27" ht="57" customHeight="1" x14ac:dyDescent="0.25">
      <c r="A211" s="17" t="s">
        <v>523</v>
      </c>
      <c r="B211" s="18">
        <v>82111902</v>
      </c>
      <c r="C211" s="19" t="s">
        <v>524</v>
      </c>
      <c r="D211" s="19"/>
      <c r="E211" s="20">
        <v>44012</v>
      </c>
      <c r="F211" s="21" t="s">
        <v>194</v>
      </c>
      <c r="G211" s="21" t="s">
        <v>217</v>
      </c>
      <c r="H211" s="22">
        <v>1</v>
      </c>
      <c r="I211" s="40" t="s">
        <v>33</v>
      </c>
      <c r="J211" s="19" t="s">
        <v>70</v>
      </c>
      <c r="K211" s="29" t="s">
        <v>525</v>
      </c>
      <c r="L211" s="24" t="s">
        <v>285</v>
      </c>
      <c r="M211" s="26">
        <f t="shared" si="5"/>
        <v>2121800</v>
      </c>
      <c r="N211" s="26">
        <f t="shared" si="6"/>
        <v>2121800</v>
      </c>
      <c r="O211" s="26">
        <v>2121800</v>
      </c>
      <c r="P211" s="26">
        <v>0</v>
      </c>
      <c r="Q211" s="26"/>
      <c r="R211" s="26"/>
      <c r="S211" s="29" t="s">
        <v>37</v>
      </c>
      <c r="T211" s="29" t="s">
        <v>38</v>
      </c>
      <c r="U211" s="29"/>
      <c r="V211" s="29" t="s">
        <v>526</v>
      </c>
      <c r="W211" s="29" t="s">
        <v>170</v>
      </c>
      <c r="X211" s="29" t="s">
        <v>527</v>
      </c>
      <c r="Y211" s="29" t="s">
        <v>42</v>
      </c>
      <c r="Z211" s="30" t="s">
        <v>528</v>
      </c>
      <c r="AA211" s="39" t="s">
        <v>44</v>
      </c>
    </row>
    <row r="212" spans="1:27" ht="57" customHeight="1" x14ac:dyDescent="0.25">
      <c r="A212" s="17" t="s">
        <v>523</v>
      </c>
      <c r="B212" s="18">
        <v>86101705</v>
      </c>
      <c r="C212" s="19" t="s">
        <v>143</v>
      </c>
      <c r="D212" s="19"/>
      <c r="E212" s="20">
        <v>43889</v>
      </c>
      <c r="F212" s="29" t="s">
        <v>89</v>
      </c>
      <c r="G212" s="34" t="s">
        <v>53</v>
      </c>
      <c r="H212" s="35">
        <v>8</v>
      </c>
      <c r="I212" s="29" t="s">
        <v>33</v>
      </c>
      <c r="J212" s="19" t="s">
        <v>144</v>
      </c>
      <c r="K212" s="29" t="s">
        <v>529</v>
      </c>
      <c r="L212" s="24" t="s">
        <v>36</v>
      </c>
      <c r="M212" s="26">
        <f t="shared" si="5"/>
        <v>65000000</v>
      </c>
      <c r="N212" s="26">
        <f t="shared" si="6"/>
        <v>65000000</v>
      </c>
      <c r="O212" s="26">
        <v>65000000</v>
      </c>
      <c r="P212" s="26">
        <v>0</v>
      </c>
      <c r="Q212" s="26"/>
      <c r="R212" s="26"/>
      <c r="S212" s="29" t="s">
        <v>37</v>
      </c>
      <c r="T212" s="29" t="s">
        <v>38</v>
      </c>
      <c r="U212" s="29" t="s">
        <v>72</v>
      </c>
      <c r="V212" s="29" t="s">
        <v>526</v>
      </c>
      <c r="W212" s="29" t="s">
        <v>170</v>
      </c>
      <c r="X212" s="29" t="s">
        <v>527</v>
      </c>
      <c r="Y212" s="29" t="s">
        <v>42</v>
      </c>
      <c r="Z212" s="30" t="s">
        <v>528</v>
      </c>
      <c r="AA212" s="39" t="s">
        <v>44</v>
      </c>
    </row>
    <row r="213" spans="1:27" ht="85.5" customHeight="1" x14ac:dyDescent="0.25">
      <c r="A213" s="17" t="s">
        <v>523</v>
      </c>
      <c r="B213" s="18">
        <v>80120000</v>
      </c>
      <c r="C213" s="19" t="s">
        <v>530</v>
      </c>
      <c r="D213" s="19"/>
      <c r="E213" s="20">
        <v>43889</v>
      </c>
      <c r="F213" s="29" t="s">
        <v>89</v>
      </c>
      <c r="G213" s="29" t="s">
        <v>89</v>
      </c>
      <c r="H213" s="22">
        <v>6</v>
      </c>
      <c r="I213" s="23" t="s">
        <v>33</v>
      </c>
      <c r="J213" s="19" t="s">
        <v>34</v>
      </c>
      <c r="K213" s="29" t="s">
        <v>531</v>
      </c>
      <c r="L213" s="24" t="s">
        <v>36</v>
      </c>
      <c r="M213" s="26">
        <f t="shared" si="5"/>
        <v>76365120</v>
      </c>
      <c r="N213" s="26">
        <f t="shared" si="6"/>
        <v>76365120</v>
      </c>
      <c r="O213" s="26">
        <v>76365120</v>
      </c>
      <c r="P213" s="26">
        <v>0</v>
      </c>
      <c r="Q213" s="26"/>
      <c r="R213" s="26"/>
      <c r="S213" s="29" t="s">
        <v>37</v>
      </c>
      <c r="T213" s="29" t="s">
        <v>38</v>
      </c>
      <c r="U213" s="29" t="s">
        <v>98</v>
      </c>
      <c r="V213" s="29" t="s">
        <v>526</v>
      </c>
      <c r="W213" s="29" t="s">
        <v>170</v>
      </c>
      <c r="X213" s="29" t="s">
        <v>527</v>
      </c>
      <c r="Y213" s="29" t="s">
        <v>42</v>
      </c>
      <c r="Z213" s="30" t="s">
        <v>528</v>
      </c>
      <c r="AA213" s="39" t="s">
        <v>44</v>
      </c>
    </row>
    <row r="214" spans="1:27" ht="21.5" customHeight="1" x14ac:dyDescent="0.3">
      <c r="A214" s="131" t="s">
        <v>532</v>
      </c>
      <c r="B214" s="132" t="s">
        <v>533</v>
      </c>
      <c r="C214" s="133" t="s">
        <v>143</v>
      </c>
      <c r="D214" s="133"/>
      <c r="E214" s="134">
        <v>43889</v>
      </c>
      <c r="F214" s="135" t="s">
        <v>89</v>
      </c>
      <c r="G214" s="136" t="s">
        <v>53</v>
      </c>
      <c r="H214" s="137">
        <v>8</v>
      </c>
      <c r="I214" s="135" t="s">
        <v>33</v>
      </c>
      <c r="J214" s="133" t="s">
        <v>144</v>
      </c>
      <c r="K214" s="138" t="s">
        <v>534</v>
      </c>
      <c r="L214" s="139" t="s">
        <v>535</v>
      </c>
      <c r="M214" s="140">
        <f t="shared" si="5"/>
        <v>131021150</v>
      </c>
      <c r="N214" s="140">
        <f t="shared" si="6"/>
        <v>131021150</v>
      </c>
      <c r="O214" s="140">
        <f>77976150+53045000</f>
        <v>131021150</v>
      </c>
      <c r="P214" s="140"/>
      <c r="Q214" s="140"/>
      <c r="R214" s="140"/>
      <c r="S214" s="135" t="s">
        <v>37</v>
      </c>
      <c r="T214" s="135" t="s">
        <v>38</v>
      </c>
      <c r="U214" s="135" t="s">
        <v>72</v>
      </c>
      <c r="V214" s="135" t="s">
        <v>536</v>
      </c>
      <c r="W214" s="135" t="s">
        <v>537</v>
      </c>
      <c r="X214" s="135" t="s">
        <v>538</v>
      </c>
      <c r="Y214" s="135" t="s">
        <v>42</v>
      </c>
      <c r="Z214" s="141" t="s">
        <v>171</v>
      </c>
      <c r="AA214" s="142" t="s">
        <v>44</v>
      </c>
    </row>
    <row r="215" spans="1:27" x14ac:dyDescent="0.25">
      <c r="A215" s="91"/>
      <c r="B215" s="92"/>
      <c r="C215" s="93"/>
      <c r="D215" s="92"/>
      <c r="E215" s="92"/>
      <c r="F215" s="92"/>
      <c r="G215" s="92"/>
      <c r="H215" s="92"/>
      <c r="I215" s="92"/>
      <c r="J215" s="92"/>
      <c r="K215" s="93"/>
      <c r="L215" s="94">
        <f>SUM(L6:L214)</f>
        <v>0</v>
      </c>
      <c r="M215" s="94"/>
      <c r="N215" s="95">
        <f>SUM(N6:N214)</f>
        <v>142449809429.70184</v>
      </c>
      <c r="O215" s="95">
        <f>SUM(O6:O214)</f>
        <v>56269590000.15184</v>
      </c>
      <c r="P215" s="95">
        <f>SUM(P6:P214)</f>
        <v>86180219427.550003</v>
      </c>
      <c r="Q215" s="95">
        <f>SUM(Q6:Q214)</f>
        <v>37503522241</v>
      </c>
      <c r="R215" s="92"/>
      <c r="S215" s="93"/>
      <c r="T215" s="93"/>
      <c r="U215" s="93"/>
      <c r="V215" s="92"/>
      <c r="W215" s="93"/>
      <c r="X215" s="93"/>
      <c r="Y215" s="92"/>
      <c r="Z215" s="93"/>
      <c r="AA215" s="96"/>
    </row>
    <row r="216" spans="1:27" x14ac:dyDescent="0.25">
      <c r="A216" s="91"/>
      <c r="B216" s="92"/>
      <c r="C216" s="93"/>
      <c r="D216" s="92"/>
      <c r="E216" s="92"/>
      <c r="F216" s="92"/>
      <c r="G216" s="92"/>
      <c r="H216" s="92"/>
      <c r="I216" s="92"/>
      <c r="J216" s="92"/>
      <c r="K216" s="93"/>
      <c r="L216" s="94"/>
      <c r="M216" s="94"/>
      <c r="N216" s="93"/>
      <c r="O216" s="93"/>
      <c r="P216" s="92"/>
      <c r="Q216" s="92"/>
      <c r="R216" s="92"/>
      <c r="S216" s="93"/>
      <c r="T216" s="93"/>
      <c r="U216" s="93"/>
      <c r="V216" s="92"/>
      <c r="W216" s="93"/>
      <c r="X216" s="93"/>
      <c r="Y216" s="92"/>
      <c r="Z216" s="93"/>
      <c r="AA216" s="96"/>
    </row>
    <row r="217" spans="1:27" ht="14.5" x14ac:dyDescent="0.25">
      <c r="A217" s="91"/>
      <c r="B217" s="92"/>
      <c r="C217" s="97"/>
      <c r="D217" s="92"/>
      <c r="E217" s="92"/>
      <c r="F217" s="92"/>
      <c r="G217" s="92"/>
      <c r="H217" s="92"/>
      <c r="I217" s="92"/>
      <c r="J217" s="92"/>
      <c r="K217" s="93"/>
      <c r="L217" s="94"/>
      <c r="M217" s="94"/>
      <c r="N217" s="93"/>
      <c r="O217" s="98">
        <v>865194920</v>
      </c>
      <c r="P217" s="99"/>
      <c r="Q217" s="92"/>
      <c r="R217" s="92"/>
      <c r="S217" s="93"/>
      <c r="T217" s="93"/>
      <c r="U217" s="93"/>
      <c r="V217" s="92"/>
      <c r="W217" s="93"/>
      <c r="X217" s="93"/>
      <c r="Y217" s="92"/>
      <c r="Z217" s="93"/>
      <c r="AA217" s="96"/>
    </row>
    <row r="218" spans="1:27" x14ac:dyDescent="0.25">
      <c r="A218" s="91"/>
      <c r="B218" s="92"/>
      <c r="C218" s="93"/>
      <c r="D218" s="92"/>
      <c r="E218" s="92"/>
      <c r="F218" s="92"/>
      <c r="G218" s="92"/>
      <c r="H218" s="92"/>
      <c r="I218" s="92"/>
      <c r="J218" s="92"/>
      <c r="K218" s="93"/>
      <c r="L218" s="94"/>
      <c r="M218" s="94"/>
      <c r="N218" s="93"/>
      <c r="O218" s="100">
        <f>O217-O26</f>
        <v>559119960</v>
      </c>
      <c r="P218" s="92"/>
      <c r="Q218" s="92"/>
      <c r="R218" s="92"/>
      <c r="S218" s="93"/>
      <c r="T218" s="93"/>
      <c r="U218" s="93"/>
      <c r="V218" s="92"/>
      <c r="W218" s="93"/>
      <c r="X218" s="93"/>
      <c r="Y218" s="92"/>
      <c r="Z218" s="93"/>
      <c r="AA218" s="96"/>
    </row>
    <row r="219" spans="1:27" ht="13" x14ac:dyDescent="0.3">
      <c r="A219" s="91"/>
      <c r="B219" s="92"/>
      <c r="C219" s="93"/>
      <c r="D219" s="92"/>
      <c r="E219" s="92"/>
      <c r="F219" s="92"/>
      <c r="G219" s="92"/>
      <c r="H219" s="92"/>
      <c r="I219" s="92"/>
      <c r="J219" s="92"/>
      <c r="K219" s="93"/>
      <c r="L219" s="94"/>
      <c r="M219" s="94"/>
      <c r="N219" s="93"/>
      <c r="O219" s="101"/>
      <c r="P219" s="99"/>
      <c r="Q219" s="92"/>
      <c r="R219" s="92"/>
      <c r="S219" s="93"/>
      <c r="T219" s="93"/>
      <c r="U219" s="93"/>
      <c r="V219" s="92"/>
      <c r="W219" s="93"/>
      <c r="X219" s="93"/>
      <c r="Y219" s="92"/>
      <c r="Z219" s="93"/>
      <c r="AA219" s="96"/>
    </row>
    <row r="220" spans="1:27" x14ac:dyDescent="0.25">
      <c r="A220" s="91"/>
      <c r="B220" s="92"/>
      <c r="C220" s="93"/>
      <c r="D220" s="92"/>
      <c r="E220" s="92"/>
      <c r="F220" s="92"/>
      <c r="G220" s="92"/>
      <c r="H220" s="92"/>
      <c r="I220" s="92"/>
      <c r="J220" s="92"/>
      <c r="K220" s="93"/>
      <c r="L220" s="94"/>
      <c r="M220" s="94"/>
      <c r="N220" s="93"/>
      <c r="O220" s="93"/>
      <c r="P220" s="92"/>
      <c r="Q220" s="92"/>
      <c r="R220" s="92"/>
      <c r="S220" s="93"/>
      <c r="T220" s="93"/>
      <c r="U220" s="93"/>
      <c r="V220" s="92"/>
      <c r="W220" s="93"/>
      <c r="X220" s="93"/>
      <c r="Y220" s="92"/>
      <c r="Z220" s="93"/>
      <c r="AA220" s="96"/>
    </row>
    <row r="221" spans="1:27" x14ac:dyDescent="0.25">
      <c r="A221" s="91"/>
      <c r="B221" s="92"/>
      <c r="C221" s="93"/>
      <c r="D221" s="92"/>
      <c r="E221" s="92"/>
      <c r="F221" s="92"/>
      <c r="G221" s="92"/>
      <c r="H221" s="92"/>
      <c r="I221" s="92"/>
      <c r="J221" s="92"/>
      <c r="K221" s="93"/>
      <c r="L221" s="94"/>
      <c r="M221" s="94"/>
      <c r="N221" s="93"/>
      <c r="O221" s="102"/>
      <c r="P221" s="92"/>
      <c r="Q221" s="92"/>
      <c r="R221" s="92"/>
      <c r="S221" s="93"/>
      <c r="T221" s="93"/>
      <c r="U221" s="93"/>
      <c r="V221" s="92"/>
      <c r="W221" s="93"/>
      <c r="X221" s="93"/>
      <c r="Y221" s="92"/>
      <c r="Z221" s="93"/>
      <c r="AA221" s="96"/>
    </row>
    <row r="222" spans="1:27" x14ac:dyDescent="0.25">
      <c r="A222" s="91"/>
      <c r="B222" s="92"/>
      <c r="C222" s="93"/>
      <c r="D222" s="92"/>
      <c r="E222" s="92"/>
      <c r="F222" s="92"/>
      <c r="G222" s="92"/>
      <c r="H222" s="92"/>
      <c r="I222" s="92"/>
      <c r="J222" s="92"/>
      <c r="K222" s="93"/>
      <c r="L222" s="94"/>
      <c r="M222" s="94"/>
      <c r="N222" s="93"/>
      <c r="O222" s="93"/>
      <c r="P222" s="92"/>
      <c r="Q222" s="92"/>
      <c r="R222" s="92"/>
      <c r="S222" s="93"/>
      <c r="T222" s="93"/>
      <c r="U222" s="93"/>
      <c r="V222" s="92"/>
      <c r="W222" s="93"/>
      <c r="X222" s="93"/>
      <c r="Y222" s="92"/>
      <c r="Z222" s="93"/>
      <c r="AA222" s="96"/>
    </row>
    <row r="223" spans="1:27" x14ac:dyDescent="0.25">
      <c r="A223" s="91"/>
      <c r="B223" s="92"/>
      <c r="C223" s="93"/>
      <c r="D223" s="92"/>
      <c r="E223" s="92"/>
      <c r="F223" s="92"/>
      <c r="G223" s="92"/>
      <c r="H223" s="92"/>
      <c r="I223" s="92"/>
      <c r="J223" s="92"/>
      <c r="K223" s="93"/>
      <c r="L223" s="94"/>
      <c r="M223" s="94"/>
      <c r="N223" s="93"/>
      <c r="O223" s="93"/>
      <c r="P223" s="92"/>
      <c r="Q223" s="92"/>
      <c r="R223" s="92"/>
      <c r="S223" s="93"/>
      <c r="T223" s="93"/>
      <c r="U223" s="93"/>
      <c r="V223" s="92"/>
      <c r="W223" s="93"/>
      <c r="X223" s="93"/>
      <c r="Y223" s="92"/>
      <c r="Z223" s="93"/>
      <c r="AA223" s="96"/>
    </row>
    <row r="224" spans="1:27" x14ac:dyDescent="0.25">
      <c r="A224" s="91"/>
      <c r="B224" s="92"/>
      <c r="C224" s="93"/>
      <c r="D224" s="92"/>
      <c r="E224" s="92"/>
      <c r="F224" s="92"/>
      <c r="G224" s="92"/>
      <c r="H224" s="92"/>
      <c r="I224" s="92"/>
      <c r="J224" s="92"/>
      <c r="K224" s="93"/>
      <c r="L224" s="94"/>
      <c r="M224" s="94"/>
      <c r="N224" s="93"/>
      <c r="O224" s="93"/>
      <c r="P224" s="92"/>
      <c r="Q224" s="92"/>
      <c r="R224" s="92"/>
      <c r="S224" s="93"/>
      <c r="T224" s="93"/>
      <c r="U224" s="93"/>
      <c r="V224" s="92"/>
      <c r="W224" s="93"/>
      <c r="X224" s="93"/>
      <c r="Y224" s="92"/>
      <c r="Z224" s="93"/>
      <c r="AA224" s="96"/>
    </row>
    <row r="225" spans="1:27" x14ac:dyDescent="0.25">
      <c r="A225" s="91"/>
      <c r="B225" s="92"/>
      <c r="C225" s="93"/>
      <c r="D225" s="92"/>
      <c r="E225" s="92"/>
      <c r="F225" s="92"/>
      <c r="G225" s="92"/>
      <c r="H225" s="92"/>
      <c r="I225" s="92"/>
      <c r="J225" s="92"/>
      <c r="K225" s="93"/>
      <c r="L225" s="94"/>
      <c r="M225" s="94"/>
      <c r="N225" s="93"/>
      <c r="O225" s="93"/>
      <c r="P225" s="92"/>
      <c r="Q225" s="92"/>
      <c r="R225" s="92"/>
      <c r="S225" s="93"/>
      <c r="T225" s="93"/>
      <c r="U225" s="93"/>
      <c r="V225" s="92"/>
      <c r="W225" s="93"/>
      <c r="X225" s="93"/>
      <c r="Y225" s="92"/>
      <c r="Z225" s="93"/>
      <c r="AA225" s="96"/>
    </row>
  </sheetData>
  <sheetProtection formatCells="0" formatColumns="0" formatRows="0" insertColumns="0" insertRows="0" insertHyperlinks="0" sort="0" autoFilter="0" pivotTables="0"/>
  <dataValidations count="3">
    <dataValidation type="list" allowBlank="1" showInputMessage="1" showErrorMessage="1" sqref="J138" xr:uid="{D43C92E7-B3F3-4693-950E-CA8E6004CC1E}">
      <formula1>#N/A</formula1>
    </dataValidation>
    <dataValidation type="list" allowBlank="1" showInputMessage="1" showErrorMessage="1" sqref="A138" xr:uid="{FCC845CA-2D89-440C-94FD-504A13478056}">
      <formula1>$E$14:$E$68</formula1>
    </dataValidation>
    <dataValidation allowBlank="1" showInputMessage="1" showErrorMessage="1" prompt="Describa cómo debe quedar la línea del PAA." sqref="B23" xr:uid="{20C326E2-23A9-4ECD-8AD6-CDCB266C6A90}"/>
  </dataValidations>
  <hyperlinks>
    <hyperlink ref="AA6" r:id="rId1" xr:uid="{5913599F-D3CE-44FA-8DE4-37F6E32472A9}"/>
    <hyperlink ref="AA9:AA31" r:id="rId2" display="javiermosquera@reincorporacion.gov.co" xr:uid="{7AE4F4D1-DCDF-492A-97C8-B3410F753D95}"/>
    <hyperlink ref="AA21:AA31" r:id="rId3" display="javiermosquera@reincorporacion.gov.co" xr:uid="{98F09B8F-4797-4C55-8675-94C2F76F9687}"/>
    <hyperlink ref="AA28" r:id="rId4" xr:uid="{D48E2772-1FC1-4916-9D9D-AA118C775C85}"/>
    <hyperlink ref="AA74" r:id="rId5" xr:uid="{8DC19FC3-C9C9-4E49-8FC8-138DF5546900}"/>
    <hyperlink ref="AA75" r:id="rId6" xr:uid="{0A1A6F02-4E2F-4259-AC21-9319984965E9}"/>
    <hyperlink ref="AA77" r:id="rId7" xr:uid="{5BE573CF-7975-487A-93D9-393E3D3855FD}"/>
    <hyperlink ref="AA80" r:id="rId8" xr:uid="{AAB91C90-D606-4053-BE43-23F28FF864CA}"/>
    <hyperlink ref="AA82" r:id="rId9" xr:uid="{31D74488-6FE3-4933-B560-04382CA82A84}"/>
    <hyperlink ref="AA83" r:id="rId10" xr:uid="{7EDC2BE5-4AB4-4C8C-A46B-8A97B2F1778C}"/>
    <hyperlink ref="AA84" r:id="rId11" xr:uid="{A13D40AD-4FAD-4B67-9E03-28B269FAA8C8}"/>
    <hyperlink ref="AA85" r:id="rId12" xr:uid="{55BD7BD7-39CE-433A-957F-D21B470052D0}"/>
    <hyperlink ref="AA86" r:id="rId13" xr:uid="{ACFC3E07-5CC1-46E6-9CF8-D47521BF1ADB}"/>
    <hyperlink ref="AA89" r:id="rId14" xr:uid="{0975C422-B844-4EA9-AF16-859CB8CFA3B3}"/>
    <hyperlink ref="AA91" r:id="rId15" xr:uid="{763D0F78-CCF1-4AB7-84A1-3CA567813609}"/>
    <hyperlink ref="AA100" r:id="rId16" xr:uid="{0D9ABDD8-16EE-4691-8ABC-F620D603D2CD}"/>
    <hyperlink ref="AA101" r:id="rId17" xr:uid="{07B6333D-9185-4A19-B21B-BD920E8F81EE}"/>
    <hyperlink ref="AA102:AA106" r:id="rId18" display="javiermosquera@reincorporacion.gov.co" xr:uid="{8CCA5916-6AC6-4D31-9999-4153D935B137}"/>
    <hyperlink ref="AA107" r:id="rId19" xr:uid="{1519F651-872B-4100-8FD6-78C7C841DB49}"/>
    <hyperlink ref="AA108" r:id="rId20" xr:uid="{DE7019E7-3A5A-4E39-9995-31967EA0E5B0}"/>
    <hyperlink ref="AA211" r:id="rId21" xr:uid="{DB15F85D-FFD7-4524-A6C6-A05A4958BA24}"/>
    <hyperlink ref="AA212:AA213" r:id="rId22" display="javiermosquera@reincorporacion.gov.co" xr:uid="{76EF16B1-8333-4BBE-8388-589CFD7D7254}"/>
    <hyperlink ref="AA213" r:id="rId23" xr:uid="{18AB8E19-2014-439F-8C05-9E72636A19D2}"/>
    <hyperlink ref="AA214" r:id="rId24" xr:uid="{713FE55B-C2CE-4DA5-8CD3-AB13C6F1D990}"/>
    <hyperlink ref="AA57" r:id="rId25" xr:uid="{F2AB7711-40F9-4E85-8426-206590A41CC1}"/>
    <hyperlink ref="AA55" r:id="rId26" xr:uid="{3153D6B7-F1A7-44FE-B708-715BBF180D90}"/>
    <hyperlink ref="AA72" r:id="rId27" xr:uid="{EF588A4A-458F-46A1-82AF-E4B5CBB40209}"/>
    <hyperlink ref="AA54" r:id="rId28" xr:uid="{25DBF626-D93C-4B68-8489-A70570291B07}"/>
    <hyperlink ref="AA53" r:id="rId29" xr:uid="{67808E32-27FA-4010-9C57-BBC06DD70D1F}"/>
    <hyperlink ref="AA56" r:id="rId30" xr:uid="{15E9B3EA-ADF6-4AAC-88C1-28A75B18C75A}"/>
    <hyperlink ref="AA51" r:id="rId31" xr:uid="{3742B0BB-2591-46E2-A47D-AA9B9530B8E3}"/>
    <hyperlink ref="AA45" r:id="rId32" xr:uid="{B978F08A-D5F7-49BC-B108-0801B67ACE25}"/>
    <hyperlink ref="AA38" r:id="rId33" xr:uid="{986F300A-F435-4383-B0A7-EF3AEEFE3C3A}"/>
    <hyperlink ref="AA8" r:id="rId34" xr:uid="{1420D14B-2B0E-4E84-B550-13D2183D4657}"/>
    <hyperlink ref="AA98" r:id="rId35" xr:uid="{FA72E8D5-A2B1-4A95-BA8F-A088841B51B4}"/>
    <hyperlink ref="AA95" r:id="rId36" xr:uid="{03ED86F5-0F4E-478B-8DA0-CD6D17C13761}"/>
    <hyperlink ref="AA207:AA210" r:id="rId37" display="javiermosquera@reincorporacion.gov.co" xr:uid="{58DD348A-9E84-426F-BA62-86DD8363E1DC}"/>
    <hyperlink ref="AA206" r:id="rId38" xr:uid="{3639CA10-9E71-4E07-9741-6B8442098E3F}"/>
    <hyperlink ref="AA208" r:id="rId39" xr:uid="{235FEBD1-A5C1-4BAF-AAF2-7151866B7EA4}"/>
    <hyperlink ref="AA121" r:id="rId40" xr:uid="{0BB4FB63-CCF6-4979-BB96-6155ADA08B54}"/>
    <hyperlink ref="AA122" r:id="rId41" xr:uid="{9B4FED12-2327-40C5-87FA-E8ADF60B9964}"/>
    <hyperlink ref="AA124" r:id="rId42" xr:uid="{662180DE-49CB-4C25-9BE9-D2A080344311}"/>
    <hyperlink ref="AA125" r:id="rId43" xr:uid="{D026DC26-3311-4014-985F-1CBCE3A96DE1}"/>
    <hyperlink ref="AA131:AA186" r:id="rId44" display="javiermosquera@reincorporacion.gov.co" xr:uid="{C63AF404-A28F-4E2F-8AC1-C6D64D4C108B}"/>
    <hyperlink ref="AA32" r:id="rId45" xr:uid="{DC1E158D-597E-45F4-BB4E-3BB466718035}"/>
    <hyperlink ref="AA36" r:id="rId46" xr:uid="{4E4E6329-83E7-4AF0-A495-2FE6BF8860C3}"/>
    <hyperlink ref="AA93" r:id="rId47" xr:uid="{F144E528-76DE-476E-9375-A6D37D140747}"/>
    <hyperlink ref="AA11" r:id="rId48" xr:uid="{2D0C89D9-7E73-4673-AACD-A660A9135136}"/>
    <hyperlink ref="AA20" r:id="rId49" xr:uid="{FA0EF2AC-8119-4B68-B23E-5E1DEEBED1EE}"/>
    <hyperlink ref="AA33" r:id="rId50" xr:uid="{4A0F04D1-C07D-4D24-986C-47BEBA3FF9CF}"/>
    <hyperlink ref="AA37" r:id="rId51" xr:uid="{37B3454D-9AF7-4D43-B81E-C5AB4889F0F9}"/>
    <hyperlink ref="AA39" r:id="rId52" xr:uid="{C7E6690B-77D2-4D62-98B0-331B10F385DC}"/>
    <hyperlink ref="AA88" r:id="rId53" xr:uid="{11E00E12-A038-40AC-94F0-8CC2C2FF9924}"/>
    <hyperlink ref="AA109" r:id="rId54" xr:uid="{9271EBD0-31BC-4A08-A02B-70095C463870}"/>
    <hyperlink ref="AA127" r:id="rId55" xr:uid="{F4ECB26E-4134-424B-B278-79CEFF2B918F}"/>
    <hyperlink ref="AA131:AA132" r:id="rId56" display="javiermosquera@reincorporacion.gov.co" xr:uid="{C53CEE7F-70DE-4F53-AED8-B0D56EBBCFCC}"/>
    <hyperlink ref="AA134:AA137" r:id="rId57" display="javiermosquera@reincorporacion.gov.co" xr:uid="{C91AB9A0-D9AA-4639-9455-4F4CA530C630}"/>
    <hyperlink ref="AA135" r:id="rId58" xr:uid="{57486B64-A6EE-4D19-B62A-87AC82E9DFF2}"/>
    <hyperlink ref="AA141:AA150" r:id="rId59" display="javiermosquera@reincorporacion.gov.co" xr:uid="{ED203873-1619-483E-A556-84089A4D66C5}"/>
    <hyperlink ref="AA146" r:id="rId60" xr:uid="{1B6C1F34-F0D7-42A0-97C9-99EEB7F765A6}"/>
    <hyperlink ref="AA143" r:id="rId61" xr:uid="{82BE8CBB-8BF5-49B7-82E1-E0C17289DF4A}"/>
    <hyperlink ref="AA151:AA162" r:id="rId62" display="javiermosquera@reincorporacion.gov.co" xr:uid="{F2A20446-538C-4A58-A2AD-C0842097B84D}"/>
    <hyperlink ref="AA163:AA172" r:id="rId63" display="javiermosquera@reincorporacion.gov.co" xr:uid="{93F3F954-E804-4A4C-8326-D5DDC6398C91}"/>
    <hyperlink ref="AA173:AA181" r:id="rId64" display="javiermosquera@reincorporacion.gov.co" xr:uid="{8B44C9ED-DC22-4337-A771-3206D5BFDB46}"/>
    <hyperlink ref="AA195" r:id="rId65" xr:uid="{C8BD83EB-55B4-4F82-803D-DD03C136E8E5}"/>
    <hyperlink ref="AA192" r:id="rId66" xr:uid="{C8EBEEC0-6A05-4D20-84D4-D40141FFC42E}"/>
    <hyperlink ref="AA151" r:id="rId67" xr:uid="{6783A584-9138-44EC-8CC6-C87481F5992B}"/>
    <hyperlink ref="AA10" r:id="rId68" xr:uid="{7E4CD04D-9CE3-4663-8092-7C0C2A6B4C92}"/>
    <hyperlink ref="AA27" r:id="rId69" xr:uid="{66AEB33B-9DC6-4099-8B2E-3FA664080B58}"/>
    <hyperlink ref="AA47" r:id="rId70" xr:uid="{B23B56C9-F999-4C1A-89D3-7B768ACA4373}"/>
    <hyperlink ref="AA198" r:id="rId71" xr:uid="{8C76F2F4-8CDE-469E-8DFB-6B5004F994A9}"/>
    <hyperlink ref="AA18" r:id="rId72" xr:uid="{098D9E57-BD6B-4FFF-AA35-9D34C9A89C0D}"/>
    <hyperlink ref="AA15" r:id="rId73" xr:uid="{D3A5471B-D614-4FEF-9676-83E1027996B4}"/>
    <hyperlink ref="AA104" r:id="rId74" xr:uid="{2ACEE910-FC0A-49F4-86E7-20504628BEC8}"/>
    <hyperlink ref="AA131" r:id="rId75" xr:uid="{69C973B9-FAB3-454C-8C17-E540E4F2A04A}"/>
    <hyperlink ref="AA128" r:id="rId76" xr:uid="{25D7134C-958B-4F44-A6CD-BD73F239C045}"/>
    <hyperlink ref="AA133" r:id="rId77" xr:uid="{FE669C53-2681-498B-8D94-0E7E8CAA8CC0}"/>
    <hyperlink ref="AA139" r:id="rId78" xr:uid="{85C9B56D-299F-4DF4-A06B-EEDA8D5FA809}"/>
    <hyperlink ref="AA152" r:id="rId79" xr:uid="{46295A32-141B-4C82-B39B-61F100FD6255}"/>
    <hyperlink ref="AA94" r:id="rId80" xr:uid="{A493AC1F-5A89-48CC-9590-610415B7EA29}"/>
    <hyperlink ref="AA23" r:id="rId81" xr:uid="{270AA676-129D-4922-B820-73B3DAFBF842}"/>
    <hyperlink ref="AA196" r:id="rId82" xr:uid="{63F40647-7AFB-4FD1-933C-79CF50C24832}"/>
    <hyperlink ref="AA138" r:id="rId83" xr:uid="{03D64041-A7E7-428A-A44F-70DC76E189F3}"/>
    <hyperlink ref="AA194" r:id="rId84" xr:uid="{0B10D5D9-A493-4D56-A0C1-7D77EE91D34E}"/>
    <hyperlink ref="AA46" r:id="rId85" xr:uid="{9C45CF55-39F9-48A2-B115-718134194DED}"/>
    <hyperlink ref="AA48" r:id="rId86" xr:uid="{4010E951-146E-440E-978D-8247F79A9EA0}"/>
    <hyperlink ref="AA49" r:id="rId87" xr:uid="{BC6D9119-996E-48E1-AE4D-E7E88FE390CE}"/>
    <hyperlink ref="AA50" r:id="rId88" xr:uid="{B4C50432-F2ED-437F-9B68-1EAD5BF56225}"/>
    <hyperlink ref="AA52" r:id="rId89" xr:uid="{B9A901A8-61C7-4421-82FA-C530508DB971}"/>
    <hyperlink ref="AA99" r:id="rId90" xr:uid="{FFC4F98E-FBFA-4201-BBC8-2C27C3938449}"/>
    <hyperlink ref="AA7" r:id="rId91" xr:uid="{8DF78451-5405-4251-B524-60673AC9570F}"/>
    <hyperlink ref="AA13" r:id="rId92" xr:uid="{3A280486-9701-45D6-842F-C4AF2C757314}"/>
    <hyperlink ref="AA17" r:id="rId93" xr:uid="{8B6321E5-03EA-49DB-BD12-6FE7D48706FF}"/>
    <hyperlink ref="AA19" r:id="rId94" xr:uid="{E1D9DAB3-0E37-4B47-A903-E0F7CC85EB98}"/>
    <hyperlink ref="AA25" r:id="rId95" xr:uid="{0F9BB0BE-FB3F-4F78-911D-CB1B12017BE9}"/>
    <hyperlink ref="AA105" r:id="rId96" xr:uid="{321A9210-D0A3-490E-A6BF-C35F5507CAB6}"/>
    <hyperlink ref="AA209" r:id="rId97" xr:uid="{EDE9EB68-AFEB-4294-AED0-563826E5D2EE}"/>
    <hyperlink ref="AA199" r:id="rId98" xr:uid="{8FE1B6F0-DA13-47D5-A62E-A96A1FC1B708}"/>
    <hyperlink ref="AA123" r:id="rId99" xr:uid="{1D449F56-DC61-4FB0-A57F-41F0C186EF1A}"/>
    <hyperlink ref="AA129" r:id="rId100" xr:uid="{D57E0F20-8C35-463E-B9D9-5F6040C7CEC5}"/>
    <hyperlink ref="AA87" r:id="rId101" xr:uid="{BAA5934F-319E-4845-B3B3-A4EF385D1045}"/>
    <hyperlink ref="AA90" r:id="rId102" xr:uid="{C1CE0111-E608-44A2-B638-4D945DD6090C}"/>
    <hyperlink ref="AA126" r:id="rId103" xr:uid="{EE9BE5A0-F3DC-4B1C-9089-F25EB161913E}"/>
    <hyperlink ref="AA78" r:id="rId104" xr:uid="{CC83C332-5769-4FBF-9E2F-3251EBC2EB62}"/>
    <hyperlink ref="AA182" r:id="rId105" xr:uid="{673EABE3-BA71-4231-8CE2-34E793A4D272}"/>
    <hyperlink ref="AA183" r:id="rId106" xr:uid="{54C3485D-BD6B-4175-8872-056D7EC7CE21}"/>
    <hyperlink ref="AA184" r:id="rId107" xr:uid="{17C082D0-B65C-47A1-9690-8D09E074821A}"/>
    <hyperlink ref="AA185" r:id="rId108" xr:uid="{ECFE9D12-4DFF-4BD5-A83E-7A67B98E6EA1}"/>
  </hyperlinks>
  <pageMargins left="0.70866141732283472" right="0.70866141732283472" top="0.74803149606299213" bottom="0.74803149606299213" header="0.31496062992125984" footer="0.31496062992125984"/>
  <pageSetup scale="39" orientation="landscape" r:id="rId109"/>
  <rowBreaks count="2" manualBreakCount="2">
    <brk id="37" max="51" man="1"/>
    <brk id="74" max="16383" man="1"/>
  </rowBreaks>
  <colBreaks count="2" manualBreakCount="2">
    <brk id="13" max="1048575" man="1"/>
    <brk id="26" max="190" man="1"/>
  </colBreaks>
  <legacyDrawing r:id="rId110"/>
  <tableParts count="1">
    <tablePart r:id="rId111"/>
  </tableParts>
  <extLst>
    <ext xmlns:x14="http://schemas.microsoft.com/office/spreadsheetml/2009/9/main" uri="{CCE6A557-97BC-4b89-ADB6-D9C93CAAB3DF}">
      <x14:dataValidations xmlns:xm="http://schemas.microsoft.com/office/excel/2006/main" count="7">
        <x14:dataValidation type="list" allowBlank="1" showInputMessage="1" showErrorMessage="1" xr:uid="{F8FAAF5E-B2DF-45C6-8164-48A09C288EEF}">
          <x14:formula1>
            <xm:f>'Z:\CONTRATACION\ARN\2020\PLAN ANUAL DE CONTRATACION\[Plan de Adquisiciones ARN 2020  VER_2.xlsx]Listas'!#REF!</xm:f>
          </x14:formula1>
          <xm:sqref>A203</xm:sqref>
        </x14:dataValidation>
        <x14:dataValidation type="list" allowBlank="1" showInputMessage="1" showErrorMessage="1" xr:uid="{69F944BA-BEE3-47AA-8EDD-67E1271EC043}">
          <x14:formula1>
            <xm:f>'[Plan de Adquisiciones ARN 2020  En construccion_8.xlsx]Listas'!#REF!</xm:f>
          </x14:formula1>
          <xm:sqref>A204:A214 A34:A137 A6:A32 A139:A202 U6:U26 U28:U214 J28:J137 J6:J26 J139:J214</xm:sqref>
        </x14:dataValidation>
        <x14:dataValidation type="list" allowBlank="1" showInputMessage="1" showErrorMessage="1" xr:uid="{3B053690-0880-48F5-84C2-E4090C86634A}">
          <x14:formula1>
            <xm:f>'C:\Users\leonardovillamil\AppData\Local\Microsoft\Windows\INetCache\Content.Outlook\HMCHKIQZ\[Formulario Necesidades -PAA 2020 OAC 29-nov-2019 ALCANCE.xlsx]Listas'!#REF!</xm:f>
          </x14:formula1>
          <xm:sqref>T206:T210</xm:sqref>
        </x14:dataValidation>
        <x14:dataValidation type="list" allowBlank="1" showInputMessage="1" showErrorMessage="1" xr:uid="{15896C4D-DE82-4A27-BAD3-0EF3DF71E4B3}">
          <x14:formula1>
            <xm:f>'Z:\ARN\2019\PLAN DE ADQUISICIONES\Elaboracion PAA\PAA 2020\Necesidades Areas 2020\[Copia de 1 PAA DPR Actualizado a 03012020.xlsx]Listas'!#REF!</xm:f>
          </x14:formula1>
          <xm:sqref>J27</xm:sqref>
        </x14:dataValidation>
        <x14:dataValidation type="list" allowBlank="1" showInputMessage="1" showErrorMessage="1" xr:uid="{ED64D5EB-3AF5-47CA-B4C3-96C35C3FFE9B}">
          <x14:formula1>
            <xm:f>'C:\Users\leonardovillamil\Documents\ARN\PAA 2019\ELABORACION PAA 2020\Necesidades depencias\[Formulario Necesidades -PAA 2020 Planeacion.xlsx]Listas'!#REF!</xm:f>
          </x14:formula1>
          <xm:sqref>T107:T108</xm:sqref>
        </x14:dataValidation>
        <x14:dataValidation type="list" allowBlank="1" showInputMessage="1" showErrorMessage="1" xr:uid="{441F79A7-0642-48A5-8E4B-97803AA2B360}">
          <x14:formula1>
            <xm:f>'C:\Users\leonardovillamil\Documents\ARN\PAA 2019\ELABORACION PAA 2020\Necesidades depencias\[Formulario Necesidades -PAA 2020 financiera.xlsb]Listas'!#REF!</xm:f>
          </x14:formula1>
          <xm:sqref>T97</xm:sqref>
        </x14:dataValidation>
        <x14:dataValidation type="list" allowBlank="1" showInputMessage="1" showErrorMessage="1" xr:uid="{CF5EED78-DEC9-4908-BD1C-AAEC99A4D79C}">
          <x14:formula1>
            <xm:f>'C:\Users\carolinacastillo\Documents\DPR 2020\Plan Anual de Adquisiciones 2020\[201119 Consolidado PAA 2020 DPR V1_18112019.xlsx]Listas'!#REF!</xm:f>
          </x14:formula1>
          <xm:sqref>T12:T15 T8:T10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3CFCSSYJ6V66-57-129</_dlc_DocId>
    <_dlc_DocIdUrl xmlns="6e2a57a2-9d48-4009-82e5-3fe89fb6c543">
      <Url>http://www.reincorporacion.gov.co/es/agencia/_layouts/15/DocIdRedir.aspx?ID=3CFCSSYJ6V66-57-129</Url>
      <Description>3CFCSSYJ6V66-57-129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15522-24DA-4502-B622-87CDF25B719E}"/>
</file>

<file path=customXml/itemProps2.xml><?xml version="1.0" encoding="utf-8"?>
<ds:datastoreItem xmlns:ds="http://schemas.openxmlformats.org/officeDocument/2006/customXml" ds:itemID="{6F3C37BA-EE6D-41A7-B575-62AB8793AAFD}"/>
</file>

<file path=customXml/itemProps3.xml><?xml version="1.0" encoding="utf-8"?>
<ds:datastoreItem xmlns:ds="http://schemas.openxmlformats.org/officeDocument/2006/customXml" ds:itemID="{CB5FF2C4-133A-40DC-9F7A-9C505DA244DB}"/>
</file>

<file path=customXml/itemProps4.xml><?xml version="1.0" encoding="utf-8"?>
<ds:datastoreItem xmlns:ds="http://schemas.openxmlformats.org/officeDocument/2006/customXml" ds:itemID="{E9B65D64-CD4A-4BE3-8329-3729342C07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7</dc:title>
  <dc:creator>Leonardo Segundo Villamil Huertas</dc:creator>
  <cp:lastModifiedBy>Leonardo Segundo Villamil Huertas</cp:lastModifiedBy>
  <dcterms:created xsi:type="dcterms:W3CDTF">2020-07-09T23:36:56Z</dcterms:created>
  <dcterms:modified xsi:type="dcterms:W3CDTF">2020-07-10T13:31:09Z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8e878e3a-c5b4-4b50-82cd-1d1381171267</vt:lpwstr>
  </property>
</Properties>
</file>