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CONTRATACION\ARN\2020\PLAN ANUAL DE CONTRATACION\PAA 2020\Versiones preliminares\"/>
    </mc:Choice>
  </mc:AlternateContent>
  <xr:revisionPtr revIDLastSave="0" documentId="8_{45C008F7-FE72-4B3C-9D10-E8F260E5E3B2}" xr6:coauthVersionLast="36" xr6:coauthVersionMax="36" xr10:uidLastSave="{00000000-0000-0000-0000-000000000000}"/>
  <bookViews>
    <workbookView xWindow="0" yWindow="0" windowWidth="19200" windowHeight="6930" xr2:uid="{C52F5358-26A8-4D7F-A552-6B9AE15CE50F}"/>
  </bookViews>
  <sheets>
    <sheet name="Adquisiciones 2020"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'Adquisiciones 2020'!$A$5:$X$38</definedName>
    <definedName name="_Hlk22194657" localSheetId="0">'Adquisiciones 2020'!#REF!</definedName>
    <definedName name="_Hlk22194857" localSheetId="0">'Adquisiciones 2020'!#REF!</definedName>
    <definedName name="_Hlk36632307" localSheetId="0">'Adquisiciones 2020'!#REF!</definedName>
    <definedName name="_xlnm.Print_Area" localSheetId="0">'Adquisiciones 2020'!$A$1:$X$197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87" i="1" l="1"/>
  <c r="P187" i="1" s="1"/>
  <c r="K187" i="1"/>
  <c r="P186" i="1"/>
  <c r="M186" i="1"/>
  <c r="L186" i="1"/>
  <c r="N185" i="1"/>
  <c r="M185" i="1" s="1"/>
  <c r="L185" i="1" s="1"/>
  <c r="M184" i="1"/>
  <c r="L184" i="1" s="1"/>
  <c r="M183" i="1"/>
  <c r="L183" i="1" s="1"/>
  <c r="M182" i="1"/>
  <c r="L182" i="1" s="1"/>
  <c r="M181" i="1"/>
  <c r="L181" i="1" s="1"/>
  <c r="M180" i="1"/>
  <c r="L180" i="1" s="1"/>
  <c r="M179" i="1"/>
  <c r="L179" i="1"/>
  <c r="N178" i="1"/>
  <c r="M178" i="1" s="1"/>
  <c r="L178" i="1" s="1"/>
  <c r="M177" i="1"/>
  <c r="L177" i="1" s="1"/>
  <c r="M176" i="1"/>
  <c r="L176" i="1" s="1"/>
  <c r="M175" i="1"/>
  <c r="L175" i="1" s="1"/>
  <c r="N174" i="1"/>
  <c r="M174" i="1" s="1"/>
  <c r="L174" i="1" s="1"/>
  <c r="N173" i="1"/>
  <c r="M173" i="1" s="1"/>
  <c r="L173" i="1" s="1"/>
  <c r="N172" i="1"/>
  <c r="M172" i="1" s="1"/>
  <c r="L172" i="1" s="1"/>
  <c r="N171" i="1"/>
  <c r="M171" i="1" s="1"/>
  <c r="L171" i="1" s="1"/>
  <c r="N170" i="1"/>
  <c r="M170" i="1" s="1"/>
  <c r="L170" i="1" s="1"/>
  <c r="M169" i="1"/>
  <c r="L169" i="1" s="1"/>
  <c r="N168" i="1"/>
  <c r="M168" i="1" s="1"/>
  <c r="L168" i="1" s="1"/>
  <c r="N167" i="1"/>
  <c r="M167" i="1" s="1"/>
  <c r="L167" i="1" s="1"/>
  <c r="M166" i="1"/>
  <c r="L166" i="1" s="1"/>
  <c r="M165" i="1"/>
  <c r="L165" i="1"/>
  <c r="M164" i="1"/>
  <c r="L164" i="1" s="1"/>
  <c r="M163" i="1"/>
  <c r="L163" i="1" s="1"/>
  <c r="M162" i="1"/>
  <c r="L162" i="1" s="1"/>
  <c r="M161" i="1"/>
  <c r="L161" i="1" s="1"/>
  <c r="N160" i="1"/>
  <c r="M160" i="1" s="1"/>
  <c r="L160" i="1" s="1"/>
  <c r="P159" i="1"/>
  <c r="O159" i="1"/>
  <c r="N159" i="1"/>
  <c r="M158" i="1"/>
  <c r="L158" i="1" s="1"/>
  <c r="M157" i="1"/>
  <c r="L157" i="1" s="1"/>
  <c r="M156" i="1"/>
  <c r="L156" i="1" s="1"/>
  <c r="M155" i="1"/>
  <c r="L155" i="1" s="1"/>
  <c r="M154" i="1"/>
  <c r="L154" i="1" s="1"/>
  <c r="M153" i="1"/>
  <c r="L153" i="1" s="1"/>
  <c r="M152" i="1"/>
  <c r="L152" i="1" s="1"/>
  <c r="M151" i="1"/>
  <c r="L151" i="1" s="1"/>
  <c r="M150" i="1"/>
  <c r="L150" i="1" s="1"/>
  <c r="M149" i="1"/>
  <c r="L149" i="1" s="1"/>
  <c r="M148" i="1"/>
  <c r="L148" i="1" s="1"/>
  <c r="M147" i="1"/>
  <c r="L147" i="1" s="1"/>
  <c r="M146" i="1"/>
  <c r="L146" i="1" s="1"/>
  <c r="M145" i="1"/>
  <c r="L145" i="1" s="1"/>
  <c r="M144" i="1"/>
  <c r="L144" i="1" s="1"/>
  <c r="M143" i="1"/>
  <c r="L143" i="1" s="1"/>
  <c r="M142" i="1"/>
  <c r="L142" i="1" s="1"/>
  <c r="M141" i="1"/>
  <c r="L141" i="1" s="1"/>
  <c r="M140" i="1"/>
  <c r="L140" i="1" s="1"/>
  <c r="M139" i="1"/>
  <c r="L139" i="1" s="1"/>
  <c r="M138" i="1"/>
  <c r="L138" i="1" s="1"/>
  <c r="M137" i="1"/>
  <c r="L137" i="1" s="1"/>
  <c r="M136" i="1"/>
  <c r="L136" i="1" s="1"/>
  <c r="M135" i="1"/>
  <c r="L135" i="1" s="1"/>
  <c r="M134" i="1"/>
  <c r="L134" i="1" s="1"/>
  <c r="M133" i="1"/>
  <c r="L133" i="1" s="1"/>
  <c r="M132" i="1"/>
  <c r="L132" i="1" s="1"/>
  <c r="M131" i="1"/>
  <c r="L131" i="1" s="1"/>
  <c r="M130" i="1"/>
  <c r="L130" i="1" s="1"/>
  <c r="O129" i="1"/>
  <c r="M129" i="1" s="1"/>
  <c r="L129" i="1" s="1"/>
  <c r="O128" i="1"/>
  <c r="M128" i="1" s="1"/>
  <c r="L128" i="1" s="1"/>
  <c r="M127" i="1"/>
  <c r="L127" i="1" s="1"/>
  <c r="M126" i="1"/>
  <c r="L126" i="1"/>
  <c r="M125" i="1"/>
  <c r="L125" i="1"/>
  <c r="M124" i="1"/>
  <c r="L124" i="1" s="1"/>
  <c r="M123" i="1"/>
  <c r="L123" i="1"/>
  <c r="M122" i="1"/>
  <c r="L122" i="1" s="1"/>
  <c r="M121" i="1"/>
  <c r="L121" i="1" s="1"/>
  <c r="M120" i="1"/>
  <c r="L120" i="1" s="1"/>
  <c r="M119" i="1"/>
  <c r="L119" i="1"/>
  <c r="M118" i="1"/>
  <c r="L118" i="1" s="1"/>
  <c r="N117" i="1"/>
  <c r="M117" i="1" s="1"/>
  <c r="L117" i="1" s="1"/>
  <c r="N116" i="1"/>
  <c r="M116" i="1"/>
  <c r="L116" i="1" s="1"/>
  <c r="M115" i="1"/>
  <c r="L115" i="1" s="1"/>
  <c r="N114" i="1"/>
  <c r="M114" i="1" s="1"/>
  <c r="L114" i="1" s="1"/>
  <c r="M113" i="1"/>
  <c r="L113" i="1" s="1"/>
  <c r="N112" i="1"/>
  <c r="M112" i="1" s="1"/>
  <c r="L112" i="1" s="1"/>
  <c r="N111" i="1"/>
  <c r="M111" i="1" s="1"/>
  <c r="L111" i="1" s="1"/>
  <c r="M110" i="1"/>
  <c r="L110" i="1"/>
  <c r="N109" i="1"/>
  <c r="M109" i="1" s="1"/>
  <c r="L109" i="1" s="1"/>
  <c r="M108" i="1"/>
  <c r="L108" i="1" s="1"/>
  <c r="N107" i="1"/>
  <c r="M107" i="1" s="1"/>
  <c r="L107" i="1" s="1"/>
  <c r="N106" i="1"/>
  <c r="M106" i="1"/>
  <c r="L106" i="1" s="1"/>
  <c r="N105" i="1"/>
  <c r="M105" i="1" s="1"/>
  <c r="L105" i="1" s="1"/>
  <c r="M104" i="1"/>
  <c r="L104" i="1" s="1"/>
  <c r="M103" i="1"/>
  <c r="L103" i="1" s="1"/>
  <c r="N102" i="1"/>
  <c r="M102" i="1" s="1"/>
  <c r="L102" i="1" s="1"/>
  <c r="M101" i="1"/>
  <c r="L101" i="1" s="1"/>
  <c r="M100" i="1"/>
  <c r="L100" i="1" s="1"/>
  <c r="M99" i="1"/>
  <c r="L99" i="1"/>
  <c r="M98" i="1"/>
  <c r="L98" i="1" s="1"/>
  <c r="M97" i="1"/>
  <c r="L97" i="1" s="1"/>
  <c r="M96" i="1"/>
  <c r="L96" i="1" s="1"/>
  <c r="O95" i="1"/>
  <c r="M95" i="1" s="1"/>
  <c r="L95" i="1" s="1"/>
  <c r="M94" i="1"/>
  <c r="L94" i="1" s="1"/>
  <c r="M93" i="1"/>
  <c r="L93" i="1" s="1"/>
  <c r="M92" i="1"/>
  <c r="L92" i="1" s="1"/>
  <c r="M91" i="1"/>
  <c r="L91" i="1" s="1"/>
  <c r="M90" i="1"/>
  <c r="L90" i="1" s="1"/>
  <c r="P89" i="1"/>
  <c r="M89" i="1"/>
  <c r="N88" i="1"/>
  <c r="M88" i="1" s="1"/>
  <c r="L88" i="1" s="1"/>
  <c r="M87" i="1"/>
  <c r="L87" i="1" s="1"/>
  <c r="M86" i="1"/>
  <c r="L86" i="1" s="1"/>
  <c r="M85" i="1"/>
  <c r="L85" i="1" s="1"/>
  <c r="N84" i="1"/>
  <c r="M84" i="1" s="1"/>
  <c r="L84" i="1" s="1"/>
  <c r="M83" i="1"/>
  <c r="L83" i="1" s="1"/>
  <c r="N82" i="1"/>
  <c r="M82" i="1" s="1"/>
  <c r="L82" i="1" s="1"/>
  <c r="N81" i="1"/>
  <c r="M81" i="1" s="1"/>
  <c r="L81" i="1" s="1"/>
  <c r="N80" i="1"/>
  <c r="M80" i="1" s="1"/>
  <c r="L80" i="1" s="1"/>
  <c r="M79" i="1"/>
  <c r="L79" i="1" s="1"/>
  <c r="N78" i="1"/>
  <c r="M78" i="1" s="1"/>
  <c r="L78" i="1" s="1"/>
  <c r="M77" i="1"/>
  <c r="L77" i="1"/>
  <c r="M76" i="1"/>
  <c r="L76" i="1" s="1"/>
  <c r="M75" i="1"/>
  <c r="L75" i="1" s="1"/>
  <c r="M74" i="1"/>
  <c r="L74" i="1" s="1"/>
  <c r="M73" i="1"/>
  <c r="L73" i="1" s="1"/>
  <c r="M72" i="1"/>
  <c r="L72" i="1" s="1"/>
  <c r="M71" i="1"/>
  <c r="L71" i="1"/>
  <c r="M70" i="1"/>
  <c r="L70" i="1" s="1"/>
  <c r="N69" i="1"/>
  <c r="M69" i="1" s="1"/>
  <c r="L69" i="1" s="1"/>
  <c r="M68" i="1"/>
  <c r="L68" i="1" s="1"/>
  <c r="N67" i="1"/>
  <c r="M67" i="1" s="1"/>
  <c r="L67" i="1" s="1"/>
  <c r="M66" i="1"/>
  <c r="L66" i="1" s="1"/>
  <c r="N65" i="1"/>
  <c r="M65" i="1" s="1"/>
  <c r="L65" i="1" s="1"/>
  <c r="M64" i="1"/>
  <c r="L64" i="1" s="1"/>
  <c r="N63" i="1"/>
  <c r="M63" i="1" s="1"/>
  <c r="L63" i="1" s="1"/>
  <c r="N62" i="1"/>
  <c r="M62" i="1" s="1"/>
  <c r="L62" i="1" s="1"/>
  <c r="P61" i="1"/>
  <c r="O61" i="1"/>
  <c r="N61" i="1"/>
  <c r="M60" i="1"/>
  <c r="L60" i="1" s="1"/>
  <c r="O59" i="1"/>
  <c r="N59" i="1"/>
  <c r="M58" i="1"/>
  <c r="L58" i="1" s="1"/>
  <c r="M57" i="1"/>
  <c r="L57" i="1" s="1"/>
  <c r="M56" i="1"/>
  <c r="L56" i="1" s="1"/>
  <c r="M55" i="1"/>
  <c r="L55" i="1" s="1"/>
  <c r="M54" i="1"/>
  <c r="L54" i="1" s="1"/>
  <c r="O53" i="1"/>
  <c r="M53" i="1" s="1"/>
  <c r="L53" i="1" s="1"/>
  <c r="N53" i="1"/>
  <c r="O52" i="1"/>
  <c r="N52" i="1"/>
  <c r="M51" i="1"/>
  <c r="L51" i="1" s="1"/>
  <c r="M50" i="1"/>
  <c r="L50" i="1" s="1"/>
  <c r="M49" i="1"/>
  <c r="L49" i="1"/>
  <c r="M48" i="1"/>
  <c r="L48" i="1"/>
  <c r="M47" i="1"/>
  <c r="L47" i="1" s="1"/>
  <c r="M46" i="1"/>
  <c r="L46" i="1" s="1"/>
  <c r="M45" i="1"/>
  <c r="L45" i="1"/>
  <c r="M44" i="1"/>
  <c r="L44" i="1" s="1"/>
  <c r="M43" i="1"/>
  <c r="L43" i="1" s="1"/>
  <c r="M42" i="1"/>
  <c r="L42" i="1" s="1"/>
  <c r="M41" i="1"/>
  <c r="L41" i="1" s="1"/>
  <c r="M40" i="1"/>
  <c r="L40" i="1" s="1"/>
  <c r="M39" i="1"/>
  <c r="L39" i="1" s="1"/>
  <c r="M38" i="1"/>
  <c r="L38" i="1" s="1"/>
  <c r="M37" i="1"/>
  <c r="L37" i="1" s="1"/>
  <c r="M36" i="1"/>
  <c r="L36" i="1" s="1"/>
  <c r="O35" i="1"/>
  <c r="M35" i="1" s="1"/>
  <c r="L35" i="1" s="1"/>
  <c r="N35" i="1"/>
  <c r="O34" i="1"/>
  <c r="M34" i="1" s="1"/>
  <c r="L34" i="1" s="1"/>
  <c r="N34" i="1"/>
  <c r="O33" i="1"/>
  <c r="M33" i="1" s="1"/>
  <c r="L33" i="1" s="1"/>
  <c r="N33" i="1"/>
  <c r="M32" i="1"/>
  <c r="L32" i="1" s="1"/>
  <c r="M31" i="1"/>
  <c r="L31" i="1" s="1"/>
  <c r="N30" i="1"/>
  <c r="M30" i="1" s="1"/>
  <c r="L30" i="1" s="1"/>
  <c r="O29" i="1"/>
  <c r="N29" i="1"/>
  <c r="O28" i="1"/>
  <c r="M28" i="1" s="1"/>
  <c r="L28" i="1" s="1"/>
  <c r="N28" i="1"/>
  <c r="O27" i="1"/>
  <c r="N27" i="1"/>
  <c r="M26" i="1"/>
  <c r="L26" i="1" s="1"/>
  <c r="O25" i="1"/>
  <c r="M25" i="1" s="1"/>
  <c r="L25" i="1" s="1"/>
  <c r="M24" i="1"/>
  <c r="L24" i="1" s="1"/>
  <c r="M23" i="1"/>
  <c r="L23" i="1" s="1"/>
  <c r="N22" i="1"/>
  <c r="M22" i="1" s="1"/>
  <c r="L22" i="1" s="1"/>
  <c r="N21" i="1"/>
  <c r="N190" i="1" s="1"/>
  <c r="O20" i="1"/>
  <c r="N20" i="1"/>
  <c r="M20" i="1" s="1"/>
  <c r="L20" i="1" s="1"/>
  <c r="M19" i="1"/>
  <c r="L19" i="1" s="1"/>
  <c r="O18" i="1"/>
  <c r="N18" i="1"/>
  <c r="M17" i="1"/>
  <c r="L17" i="1" s="1"/>
  <c r="O16" i="1"/>
  <c r="M16" i="1" s="1"/>
  <c r="L16" i="1" s="1"/>
  <c r="N15" i="1"/>
  <c r="M15" i="1" s="1"/>
  <c r="L15" i="1" s="1"/>
  <c r="O14" i="1"/>
  <c r="N14" i="1"/>
  <c r="M13" i="1"/>
  <c r="L13" i="1"/>
  <c r="M12" i="1"/>
  <c r="L12" i="1" s="1"/>
  <c r="M11" i="1"/>
  <c r="L11" i="1" s="1"/>
  <c r="M10" i="1"/>
  <c r="L10" i="1" s="1"/>
  <c r="M9" i="1"/>
  <c r="L9" i="1" s="1"/>
  <c r="M8" i="1"/>
  <c r="L8" i="1" s="1"/>
  <c r="M7" i="1"/>
  <c r="L7" i="1" s="1"/>
  <c r="M6" i="1"/>
  <c r="L6" i="1"/>
  <c r="M14" i="1" l="1"/>
  <c r="L14" i="1" s="1"/>
  <c r="M29" i="1"/>
  <c r="L29" i="1" s="1"/>
  <c r="M159" i="1"/>
  <c r="L159" i="1" s="1"/>
  <c r="M18" i="1"/>
  <c r="L18" i="1" s="1"/>
  <c r="M59" i="1"/>
  <c r="L59" i="1" s="1"/>
  <c r="M21" i="1"/>
  <c r="L21" i="1" s="1"/>
  <c r="M27" i="1"/>
  <c r="L27" i="1" s="1"/>
  <c r="M187" i="1"/>
  <c r="M61" i="1"/>
  <c r="L61" i="1" s="1"/>
  <c r="L89" i="1"/>
  <c r="M52" i="1"/>
  <c r="L5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Lucy Gonzalez Rodriguez</author>
    <author>Luisa Fernanda Castro Támara</author>
    <author>Sergio Daniel Perez Pintor</author>
    <author>Leonardo Segundo Villamil Huertas</author>
  </authors>
  <commentList>
    <comment ref="N21" authorId="0" shapeId="0" xr:uid="{54CF99C6-E99C-4B79-88C9-67C1F6307097}">
      <text>
        <r>
          <rPr>
            <b/>
            <sz val="9"/>
            <color indexed="81"/>
            <rFont val="Tahoma"/>
            <family val="2"/>
          </rPr>
          <t>Lucy Gonzalez Rodriguez:</t>
        </r>
        <r>
          <rPr>
            <sz val="9"/>
            <color indexed="81"/>
            <rFont val="Tahoma"/>
            <family val="2"/>
          </rPr>
          <t xml:space="preserve">
Recursos de Inversión</t>
        </r>
      </text>
    </comment>
    <comment ref="O21" authorId="0" shapeId="0" xr:uid="{8B50380C-BC0A-4F3A-B6C6-B536A27D4F90}">
      <text>
        <r>
          <rPr>
            <b/>
            <sz val="9"/>
            <color indexed="81"/>
            <rFont val="Tahoma"/>
            <family val="2"/>
          </rPr>
          <t>Lucy Gonzalez Rodriguez:</t>
        </r>
        <r>
          <rPr>
            <sz val="9"/>
            <color indexed="81"/>
            <rFont val="Tahoma"/>
            <family val="2"/>
          </rPr>
          <t xml:space="preserve">
Recursos de Inversión</t>
        </r>
      </text>
    </comment>
    <comment ref="P30" authorId="1" shapeId="0" xr:uid="{D5DADAA9-42DE-4923-A9C8-BC2D508B4F39}">
      <text>
        <r>
          <rPr>
            <b/>
            <sz val="9"/>
            <color indexed="81"/>
            <rFont val="Tahoma"/>
            <family val="2"/>
          </rPr>
          <t>Luisa Fernanda Castro Támara:</t>
        </r>
        <r>
          <rPr>
            <sz val="9"/>
            <color indexed="81"/>
            <rFont val="Tahoma"/>
            <family val="2"/>
          </rPr>
          <t xml:space="preserve">
incremento del 7% teniendo en cuenta los antecedentes y las tarifas regidas por la superintendencia de vigilancia y seguridad privada</t>
        </r>
      </text>
    </comment>
    <comment ref="P32" authorId="1" shapeId="0" xr:uid="{2E8697C7-EB53-4AC8-8199-75E4003C87DA}">
      <text>
        <r>
          <rPr>
            <b/>
            <sz val="9"/>
            <color indexed="81"/>
            <rFont val="Tahoma"/>
            <family val="2"/>
          </rPr>
          <t>Luisa Fernanda Castro Támara:</t>
        </r>
        <r>
          <rPr>
            <sz val="9"/>
            <color indexed="81"/>
            <rFont val="Tahoma"/>
            <family val="2"/>
          </rPr>
          <t xml:space="preserve">
Incremento del 3%
Valor mensual
</t>
        </r>
      </text>
    </comment>
    <comment ref="N52" authorId="2" shapeId="0" xr:uid="{66A9CB00-95F8-4E8D-A5D5-31CEDFA490F9}">
      <text>
        <r>
          <rPr>
            <b/>
            <sz val="9"/>
            <color indexed="81"/>
            <rFont val="Tahoma"/>
            <family val="2"/>
          </rPr>
          <t>Sergio Daniel Perez Pintor:</t>
        </r>
        <r>
          <rPr>
            <sz val="9"/>
            <color indexed="81"/>
            <rFont val="Tahoma"/>
            <family val="2"/>
          </rPr>
          <t xml:space="preserve">
Valor mensual por 12 meses</t>
        </r>
      </text>
    </comment>
    <comment ref="C176" authorId="3" shapeId="0" xr:uid="{039E31B4-FD0E-42A6-AD3F-5197DFB383DA}">
      <text>
        <r>
          <rPr>
            <b/>
            <sz val="9"/>
            <color indexed="81"/>
            <rFont val="Tahoma"/>
            <family val="2"/>
          </rPr>
          <t>Leonardo Segundo Villamil Huertas:</t>
        </r>
        <r>
          <rPr>
            <sz val="9"/>
            <color indexed="81"/>
            <rFont val="Tahoma"/>
            <family val="2"/>
          </rPr>
          <t xml:space="preserve">
revisar con claudia</t>
        </r>
      </text>
    </comment>
  </commentList>
</comments>
</file>

<file path=xl/sharedStrings.xml><?xml version="1.0" encoding="utf-8"?>
<sst xmlns="http://schemas.openxmlformats.org/spreadsheetml/2006/main" count="2609" uniqueCount="495">
  <si>
    <t>Tabla de Consolidación de necesidades por Dependencia - Plan Anual de Adquisiciones 2020</t>
  </si>
  <si>
    <t>Dependencia Responsable (Selección la que corresponde)</t>
  </si>
  <si>
    <t>Código UNSPSC (cada código separado por ;)</t>
  </si>
  <si>
    <t>Descripción (bien o servicio requerido a contratar)</t>
  </si>
  <si>
    <t>Fecha estimada de radicación en el GGC para iniciar Estudio de Mercado</t>
  </si>
  <si>
    <t>Fecha (mes) estimada de inicio de proceso de selección (Publicación Proyecto Pliego)</t>
  </si>
  <si>
    <t>Fecha (mes)  estimada de presentación de ofertas (Cierre del proceso)</t>
  </si>
  <si>
    <t>Duración estimada del contrato (número de Meses o días)</t>
  </si>
  <si>
    <t>Duración estimada del contrato (intervalo: días, Meses, años)</t>
  </si>
  <si>
    <t>Modalidad de selección (seleccione)</t>
  </si>
  <si>
    <t>Descripción de la Actividad (según clasificación del presupuesto)</t>
  </si>
  <si>
    <t>Rubro presupuesto</t>
  </si>
  <si>
    <t>Valor estimado Asignado a Contratar 
(Incluya el valor total de la Contratación si tiene Vigencia Futura. De lo contrario, este valor debe ser igual al de la siguiente columna)</t>
  </si>
  <si>
    <t>Valor estimado en la vigencia actual</t>
  </si>
  <si>
    <t>Fuente de los recursos (reintegración de la vigencia actual)</t>
  </si>
  <si>
    <t>Fuente de los recursos (reincorporación de la vigencia actual)</t>
  </si>
  <si>
    <t>Valor 2021</t>
  </si>
  <si>
    <t>Valor 2022</t>
  </si>
  <si>
    <t>Estado</t>
  </si>
  <si>
    <t>Nombre del Responsable en la Dependencia</t>
  </si>
  <si>
    <t>Unidad de contratación (Grupo de Gestión Contractual)</t>
  </si>
  <si>
    <t>Ubicación</t>
  </si>
  <si>
    <t xml:space="preserve">Nombre del responsable </t>
  </si>
  <si>
    <t xml:space="preserve">Teléfono del responsable </t>
  </si>
  <si>
    <t xml:space="preserve">Correo electrónico del responsable </t>
  </si>
  <si>
    <t>Dias</t>
  </si>
  <si>
    <t>DPR - Subdirección Territorial - Equipo de Comunidades</t>
  </si>
  <si>
    <t xml:space="preserve">93141500
93141600
93141700 </t>
  </si>
  <si>
    <r>
      <t xml:space="preserve">Aunar esfuerzos para la implementación y seguimiento a las acciones comunitarias con enfoque de género y derechos de las mujeres para fortalecer la ciudadanía activa, la participación en escenarios de construcción de paz y la promoción de los derechos sexuales y los derechos reproductivos de las mujeres de la comunidad y exintegrantes de las FARC-EP, de conformidad con el anexo de especificaciones mínimas y la política nacional de reincorporación.  
</t>
    </r>
    <r>
      <rPr>
        <b/>
        <sz val="11"/>
        <color theme="1"/>
        <rFont val="Arial"/>
        <family val="2"/>
      </rPr>
      <t xml:space="preserve">(Convenio de Cooperación Internacional British) </t>
    </r>
  </si>
  <si>
    <t>Junio</t>
  </si>
  <si>
    <t>Meses</t>
  </si>
  <si>
    <t>Contratación Directa</t>
  </si>
  <si>
    <t>Acciones comunitarias para el fortalecimiento del liderazgo y la participación de las mujeres</t>
  </si>
  <si>
    <t>A-03-03-01-001</t>
  </si>
  <si>
    <t>Maria del Pilar Ruiz</t>
  </si>
  <si>
    <t>Grupo de Gestión Contractual</t>
  </si>
  <si>
    <t>Bogotá</t>
  </si>
  <si>
    <t>Javier Mauricio Mosquera Lasso</t>
  </si>
  <si>
    <t>4430020 
Ext 10600</t>
  </si>
  <si>
    <t>javiermosquera@reincorporacion.gov.co</t>
  </si>
  <si>
    <t>93141500
93141600
93141700 
93142000</t>
  </si>
  <si>
    <r>
      <t xml:space="preserve">Implementar la estrategia "Mambrú, Fortalecimiento de Entornos Protectores de niños, niñas, adolescentes y jóvenes NNAJ" de conformidad con lo establecido en el Anexo No 1 especificaciones técnicas mínimas. </t>
    </r>
    <r>
      <rPr>
        <b/>
        <sz val="11"/>
        <color theme="1"/>
        <rFont val="Arial"/>
        <family val="2"/>
      </rPr>
      <t>Vigencia 2020  Contrato 1390 de 2019</t>
    </r>
  </si>
  <si>
    <t>Vigencia 2020</t>
  </si>
  <si>
    <t>Fortalecimiento de entornos protectores de NNAJ para la prevención del reclutamiento</t>
  </si>
  <si>
    <t>Contrato en Ejecución</t>
  </si>
  <si>
    <r>
      <rPr>
        <b/>
        <sz val="11"/>
        <color theme="1"/>
        <rFont val="Arial"/>
        <family val="2"/>
      </rPr>
      <t>(Adición y prórroga)</t>
    </r>
    <r>
      <rPr>
        <sz val="11"/>
        <color theme="1"/>
        <rFont val="Arial"/>
        <family val="2"/>
      </rPr>
      <t xml:space="preserve"> Implementar la estrategia "Mambrú, Fortalecimiento de Entornos Protectores de niños, niñas, adolescentes y jóvenes NNAJ" de conformidad con lo establecido en el Anexo No 1 especificaciones técnicas mínimas.  Contrato 1390 de 2019 suspendido formalmente
</t>
    </r>
  </si>
  <si>
    <t>Mayo</t>
  </si>
  <si>
    <t>Adición y Prórroga</t>
  </si>
  <si>
    <t>Implementar  acciones para el fortalecimiento comunitario que promuevan la convivencia y la reconciliación en los territorios - Vigencia Futura del 2020 Contrato 1330 de 2019</t>
  </si>
  <si>
    <t>Acciones para el fortalecimiento comunitario</t>
  </si>
  <si>
    <t>93141500
93141600
93141700</t>
  </si>
  <si>
    <t>Desarrollar procesos comunitarios orientados a la reconciliación y las garantías de no repetición en articulación con planes, programas y proyectos derivados del Acuerdo Final - Vigencia Futura del 2020 Contrato N° 1481 de 2019</t>
  </si>
  <si>
    <t>Procesos comunitarios para la reconciliación</t>
  </si>
  <si>
    <t>4430020 
Ext 10602</t>
  </si>
  <si>
    <t xml:space="preserve">Implementar procesos comunitarios que contribuyan al fortalecimiento de capacidades en las comunidades y la promoción de la reconciliación en cumplimiento de las acciones del eje comunitario de la Política Nacional de reincorporación social y económica de exintegrantes FARC-EP. </t>
  </si>
  <si>
    <t xml:space="preserve">Acciones para el fortalecimiento de las capacidades en las comunidades y promoción de la reconciliación </t>
  </si>
  <si>
    <t>DPR - Subdirección Territorial - Grupo de Diseño</t>
  </si>
  <si>
    <t xml:space="preserve">Contratar procesos de Implementación de la estrategia de cuidado al cuidador </t>
  </si>
  <si>
    <t>Marzo</t>
  </si>
  <si>
    <t>Abril</t>
  </si>
  <si>
    <t>Concurso de Méritos</t>
  </si>
  <si>
    <t>Implementación de la estrategia de cuidado al cuidador</t>
  </si>
  <si>
    <t>En Tramite</t>
  </si>
  <si>
    <t>Francine Botero Garnica</t>
  </si>
  <si>
    <t>Contratar procesos de formación y fortalecimiento del capital social para el impulso y participación activa en el proceso de reincorporación, dirigidos a líderes exintegrantes FARC-EP residentes en el territorio nacional</t>
  </si>
  <si>
    <t>Selección Abreviada -Literal H</t>
  </si>
  <si>
    <r>
      <rPr>
        <b/>
        <sz val="11"/>
        <color theme="1"/>
        <rFont val="Arial"/>
        <family val="2"/>
      </rPr>
      <t>Costos Programa de Reincorporación Económica y social (Misional)</t>
    </r>
    <r>
      <rPr>
        <sz val="11"/>
        <color theme="1"/>
        <rFont val="Arial"/>
        <family val="2"/>
      </rPr>
      <t xml:space="preserve">
Estrategia para fortalecimiento de liderazgos en Reincorporación</t>
    </r>
  </si>
  <si>
    <t>DPR - Subdirección de Gestión Legal</t>
  </si>
  <si>
    <t>Amparar la contratación del Seguro de Vida para personas acreditadas como desmovilizados por las autoridades competentes</t>
  </si>
  <si>
    <t>Febrero</t>
  </si>
  <si>
    <t>12</t>
  </si>
  <si>
    <t>Licitación Pública</t>
  </si>
  <si>
    <r>
      <t xml:space="preserve">Seguro de Vida para personas acreditadas como desmovilizados por las autoridades competentes
</t>
    </r>
    <r>
      <rPr>
        <b/>
        <sz val="11"/>
        <color theme="1"/>
        <rFont val="Arial"/>
        <family val="2"/>
      </rPr>
      <t>Costos Programa de Reincorporación Económica y social (Misional)</t>
    </r>
    <r>
      <rPr>
        <sz val="11"/>
        <color theme="1"/>
        <rFont val="Arial"/>
        <family val="2"/>
      </rPr>
      <t xml:space="preserve">
Seguro de Vida para personas acreditadas como desmovilizados por las autoridades competentes</t>
    </r>
  </si>
  <si>
    <t>Diego Flórez Corso</t>
  </si>
  <si>
    <t>86101700               80111500</t>
  </si>
  <si>
    <t>Aunar recursos técnicos, humanos y financieros entre la ARN y OIM para la implementación de mecanismos de fortalecimiento y formación para el sostenimiento económico de la población objeto de atención de la ARN.</t>
  </si>
  <si>
    <t>6</t>
  </si>
  <si>
    <r>
      <t xml:space="preserve">Promocion de mecanismos de fortalecimiento de capacidades para la reintegracion economica         </t>
    </r>
    <r>
      <rPr>
        <b/>
        <sz val="11"/>
        <color theme="1"/>
        <rFont val="Arial"/>
        <family val="2"/>
      </rPr>
      <t>Costos Programa de Reincorporación Económica y social (Misional)</t>
    </r>
    <r>
      <rPr>
        <sz val="11"/>
        <color theme="1"/>
        <rFont val="Arial"/>
        <family val="2"/>
      </rPr>
      <t xml:space="preserve">                Servicios de educación informal: Entornos productivos</t>
    </r>
  </si>
  <si>
    <t>Sheila Sanín Pombo</t>
  </si>
  <si>
    <t>DPR - Subdirección Territorial - Equipo de Generación de Ingresos</t>
  </si>
  <si>
    <t>80111500
86110000
86101800
86101700
86121800</t>
  </si>
  <si>
    <t>Prestar la asistencia/acompañamiento técnico a los proyectos productivos de reincorporación económica desembolsados y en implementación y brindar el fortalecimiento a las Formas Asociativas a través de la implementación de los componentes del plan de fortalecimiento organizacional, de conformidad con los lineamientos y criterios establecidos por la ARN”</t>
  </si>
  <si>
    <t xml:space="preserve">Costos Programa de Reincorporación Económica y social (Misional)
Asistencia técnica de los proyectos productivos
Costos Programa de Reincorporación Económica y social (Misional)
Fortalecimiento de procesos organizativos y proyectos productivos en el marco de la Asociatividad y Economía Solidaria a exintegrantes FARC-EP 
</t>
  </si>
  <si>
    <t>A-03-03-01-003</t>
  </si>
  <si>
    <t>4430020 
Ext 10606</t>
  </si>
  <si>
    <t>DPR - Subdirección Territorial - Equipo de Seguridad</t>
  </si>
  <si>
    <t>92101503
80101510</t>
  </si>
  <si>
    <t>Aunar esfuerzos entre la ARN y la Unidad Nacional de Protección (UNP) para agilizar los tiempos de respuestas frente a las evaluaciones de riesgo de los beneficiarios y colaboradores de la Agencia. Contrato N° 1040 de 2020</t>
  </si>
  <si>
    <t>Convenio Unidad Nacional de Protección</t>
  </si>
  <si>
    <t xml:space="preserve">Contrato </t>
  </si>
  <si>
    <t>William Fonseca Flórez</t>
  </si>
  <si>
    <t>DPR - Subdirección Territorial - Grupo de Articulación Territorial</t>
  </si>
  <si>
    <t>86111500
86111600
86121500
86141500</t>
  </si>
  <si>
    <r>
      <rPr>
        <sz val="11"/>
        <color theme="1"/>
        <rFont val="Arial"/>
        <family val="2"/>
      </rPr>
      <t>Contratar la prestación de servicios para la implementación del “Modelo de Educación Flexible para adultos” en los ciclos I, II, III IV, V, y VI, para brindar atención en educación a personas objeto de atención de la ARN a nivel nacional, de acuerdo con lo estipulado en el Anexo técnico</t>
    </r>
    <r>
      <rPr>
        <sz val="11"/>
        <color rgb="FFFF0000"/>
        <rFont val="Arial"/>
        <family val="2"/>
      </rPr>
      <t xml:space="preserve">
</t>
    </r>
  </si>
  <si>
    <t xml:space="preserve">Implementación del Modelo de Educacion y Formación para Adultos                       </t>
  </si>
  <si>
    <t>Ana María Villamil</t>
  </si>
  <si>
    <t>85101600
85101700
93141500
90111600
78111800
78111500
80111500</t>
  </si>
  <si>
    <t>Aunar esfuerzos para realizar el proceso de certificación de discapacidad de las personas objeto de atención de la ARN que se auto reconocen con alguna condición de discapacidad.</t>
  </si>
  <si>
    <t xml:space="preserve">Costos Programa de Reincorporación Económica y social (Misional)
Apoyo a los procesos de certificación de discapacidad de la población objeto de atención de la ARN            </t>
  </si>
  <si>
    <t>A-03-03-01-002</t>
  </si>
  <si>
    <t>0</t>
  </si>
  <si>
    <t>4430020 
Ext 10601</t>
  </si>
  <si>
    <t>86111500
86111600
86130000
86121500</t>
  </si>
  <si>
    <t>Facilitar el acceso de la poblacion objeto de atención de la entidad a los servicios educativos en modalidades flexibles (semipresencial, virtual o por módulos) y con capacidad de cobertura en lugares de dispersión y difiícil acceso</t>
  </si>
  <si>
    <t>Desarrollo de modelos educativos flexibles para jóvenes y adultos</t>
  </si>
  <si>
    <t>DPR - Subdirección Territorial - Equipo de Enfoque Diferencial</t>
  </si>
  <si>
    <t>80101600
93141500
93141700
94131500
94131800
94132000</t>
  </si>
  <si>
    <t>Diseñar el Proyecto del Programa Especial de Armonización para la Reintegración y Reincorporación Social y Económica con Enfoque Diferencial Étnico y de Género dirigido a negros, afrocolombianos, raizales y palenqueros</t>
  </si>
  <si>
    <t xml:space="preserve">Fortalecimiento de la Reincorporación de los Ex-integrantes de las FARC-EP  NACIONAL- </t>
  </si>
  <si>
    <t>C-0211-1000-4-0-0211022-02</t>
  </si>
  <si>
    <t>Adriana López Mesa</t>
  </si>
  <si>
    <r>
      <t xml:space="preserve">Diseñar y realizar la </t>
    </r>
    <r>
      <rPr>
        <b/>
        <sz val="11"/>
        <color theme="1"/>
        <rFont val="Arial"/>
        <family val="2"/>
      </rPr>
      <t xml:space="preserve">consulta previa </t>
    </r>
    <r>
      <rPr>
        <sz val="11"/>
        <color theme="1"/>
        <rFont val="Arial"/>
        <family val="2"/>
      </rPr>
      <t>del  Proyecto del Programa Especial de Armonización para la Reintegración y Reincorporación Social y Económica con Enfoque Diferencial Étnico y de Género dirigido a población indígena</t>
    </r>
  </si>
  <si>
    <t>Fortalecimiento de la Reincorporación de los Ex-integrantes de las FARC-EP  NACIONAL-                                                     Programa de armonizacion de enfoque étnico</t>
  </si>
  <si>
    <t>86000000
86110000
86116000
83000000</t>
  </si>
  <si>
    <r>
      <t xml:space="preserve">Amparar la contratación para la implementación de iniciativas comunitarias priorizadas, jornadas comunitarias de convivencia y reconciliación, y talleres de análisis de contexto para la prevención temprana de riesgos, en el marco de la Estrategia de Prevención de la victimización, reincidencia y estigmatización
</t>
    </r>
    <r>
      <rPr>
        <b/>
        <sz val="11"/>
        <color theme="1"/>
        <rFont val="Arial"/>
        <family val="2"/>
      </rPr>
      <t>(Adición de recursos a Convenio de Cooperación Internacional - Contrato No. 1112 de 2019)</t>
    </r>
  </si>
  <si>
    <t>Adición</t>
  </si>
  <si>
    <t xml:space="preserve">Prevención victimización y reincidencia de PPR en territorio </t>
  </si>
  <si>
    <t>C-0211-1000-3-0</t>
  </si>
  <si>
    <t>Beatriz Acosta Medina</t>
  </si>
  <si>
    <t>Amparar la contratación de instructores, gestores de emprendimiento, evaluadores de competencias y promotores de inclusión laboral para el fortalecimiento de competencias y habilidades blandas en la población objeto de atención ARN</t>
  </si>
  <si>
    <t xml:space="preserve">Honorarios - Instructores SENA </t>
  </si>
  <si>
    <t>Juan Carlos Colmenares</t>
  </si>
  <si>
    <t>Dirección Programática de Reintegración</t>
  </si>
  <si>
    <t>Honorarios CNR-CTR</t>
  </si>
  <si>
    <r>
      <rPr>
        <b/>
        <sz val="11"/>
        <color theme="1"/>
        <rFont val="Arial"/>
        <family val="2"/>
      </rPr>
      <t>Costos CNR y CTR (Acuerdo Final 3.2.2,3) Reincorporación Institucional (Misional)</t>
    </r>
    <r>
      <rPr>
        <sz val="11"/>
        <color theme="1"/>
        <rFont val="Arial"/>
        <family val="2"/>
      </rPr>
      <t xml:space="preserve">
Costos CNR y CTR Equipo Humano</t>
    </r>
  </si>
  <si>
    <t>Guadalupe Guerrero López</t>
  </si>
  <si>
    <t>Honorarios - DPR</t>
  </si>
  <si>
    <r>
      <t xml:space="preserve">Honorarios. Implementación de la estrategia de superación de vulnerabilidad a través de los equipos de trabajo de los grupos territoriales ARN a nivel nacional
</t>
    </r>
    <r>
      <rPr>
        <b/>
        <sz val="11"/>
        <color theme="1"/>
        <rFont val="Arial"/>
        <family val="2"/>
      </rPr>
      <t>Costos Programa de Reincorporación Económica y Social (Misional)</t>
    </r>
    <r>
      <rPr>
        <sz val="11"/>
        <color theme="1"/>
        <rFont val="Arial"/>
        <family val="2"/>
      </rPr>
      <t xml:space="preserve">
Equipo Humano Reincorporación - Misional</t>
    </r>
  </si>
  <si>
    <t xml:space="preserve">A-03-03-01-001
</t>
  </si>
  <si>
    <t>Nelson Velandia Becerra</t>
  </si>
  <si>
    <t>80141900 
90111600 
78111800 
80111600 
90101600</t>
  </si>
  <si>
    <t>Operador logístico misional</t>
  </si>
  <si>
    <t>Apoyo en la consecución de elementos de apoyo logístico para la realización de eventos de gestión interna y externa de las regiones y de la DPR en cumplimiento de los objetivos misionales de la ARN, para posicionar la PNRSE (OPERADOR LOGISTICO)
Apoyo logístico para la realización de eventos con comunidades étnicas NARP (OPERADOR LOGÍSTICO)
Costos Programa de Reincorporación Económica y social (Misional)
Apoyo en la consecución de elementos de apoyo logístico para la realización de eventos de gestión interna y externa de las regiones y de la DPR en cumplimiento de los objetivos misionales de la ARN, para posicionar la Política de Reincorporación (OPERADOR LOGISTICO)
Apoyo logístico para la realización de eventos con comunidades étnicas indígenas
Costos CNR y CTR (Acuerdo Final 3.2.2.3) Reincorporación Institucional (Misional)
Costos CNR y CTR Logística (operador logístico)</t>
  </si>
  <si>
    <t>A-03-03-01-001
C-0211-1000-4-0-0211022-02
A-03-03-01-001</t>
  </si>
  <si>
    <t>4430020 
Ext 10607</t>
  </si>
  <si>
    <t>secretaría General</t>
  </si>
  <si>
    <t>Honorarios de apoyo a la Gestión</t>
  </si>
  <si>
    <t>Enero</t>
  </si>
  <si>
    <t xml:space="preserve">Equipo Humano Reincorporación - Apoyo Honorarios Apoyo a la Gestión (Reintegración)
Costos Programa de Reincorporación Económica y Social (Administrativo)
</t>
  </si>
  <si>
    <t>Secretaría General - Asesor de Seguridad</t>
  </si>
  <si>
    <t>92101501
92121700</t>
  </si>
  <si>
    <t>Servicio de vigilancia y seguridad privada
(Vigencia Futura 2018) - Contrato N° 1786 del 2018</t>
  </si>
  <si>
    <t>Servicio de vigilancia y seguridad privada, sin armas, incluyendo la operación de medios tecnológicos en el personal de vigilancia en los centros de servicios a nivel nacional y el nivel central.</t>
  </si>
  <si>
    <t>A-02-02-02-008
A-03-03-03-001</t>
  </si>
  <si>
    <t>William Fonseca</t>
  </si>
  <si>
    <r>
      <t xml:space="preserve">Servicio de vigilancia y seguridad privada </t>
    </r>
    <r>
      <rPr>
        <b/>
        <sz val="11"/>
        <color theme="1"/>
        <rFont val="Arial"/>
        <family val="2"/>
      </rPr>
      <t>Vigencia para el 2021</t>
    </r>
    <r>
      <rPr>
        <sz val="11"/>
        <color theme="1"/>
        <rFont val="Arial"/>
        <family val="2"/>
      </rPr>
      <t xml:space="preserve">
</t>
    </r>
  </si>
  <si>
    <t>Agosto</t>
  </si>
  <si>
    <t>Septiembre</t>
  </si>
  <si>
    <t>Servicios Tecnológicos integrados de seguridad para Control de Acceso  - Aprovisionamiento Dic 2018 a 2020 - Vigencia Futura para 2019 y 2020 - Contrato N° 1808 del 2018</t>
  </si>
  <si>
    <t>Control de acceso para las sedes a nivel nacional ARN</t>
  </si>
  <si>
    <t xml:space="preserve">Servicios Tecnológicos integrados de seguridad para Control de Acceso  - </t>
  </si>
  <si>
    <t>4430020 
Ext 10603</t>
  </si>
  <si>
    <t>Oficina de Tecnologías de la Información</t>
  </si>
  <si>
    <t>Nube privada - Contrato 1740 de 2018 (Vig 01 Ene 2019 - 31 Ago 2020)</t>
  </si>
  <si>
    <t>Conectividad y comunicaciones</t>
  </si>
  <si>
    <t>José Vega</t>
  </si>
  <si>
    <t>Grupo de Gesitón Contractual</t>
  </si>
  <si>
    <t>5932211 
Ext 10600</t>
  </si>
  <si>
    <r>
      <t xml:space="preserve"> Nube privada - Nuevo contrato - </t>
    </r>
    <r>
      <rPr>
        <b/>
        <sz val="11"/>
        <color theme="1"/>
        <rFont val="Arial"/>
        <family val="2"/>
      </rPr>
      <t>Vigencia Futura 2020</t>
    </r>
  </si>
  <si>
    <t>Selección Abreviada - Acuerdo Marco de Precios</t>
  </si>
  <si>
    <t xml:space="preserve">Conectividad - Contrato No 1737 del 2018 (Vig 01 Ene 2019 - 21 Ago 2020) </t>
  </si>
  <si>
    <r>
      <rPr>
        <b/>
        <sz val="11"/>
        <color theme="1"/>
        <rFont val="Arial"/>
        <family val="2"/>
      </rPr>
      <t>Adicion al Contrato No 1737 del 2018</t>
    </r>
    <r>
      <rPr>
        <sz val="11"/>
        <color theme="1"/>
        <rFont val="Arial"/>
        <family val="2"/>
      </rPr>
      <t xml:space="preserve"> Conectividad -  (Vig 01 Ene 2019 - 21 Ago 2020) </t>
    </r>
  </si>
  <si>
    <r>
      <t xml:space="preserve">Nuevo Contrato </t>
    </r>
    <r>
      <rPr>
        <sz val="11"/>
        <color theme="1"/>
        <rFont val="Arial"/>
        <family val="2"/>
      </rPr>
      <t>-conectividad Vigencia Futura para 2021 y 2022</t>
    </r>
  </si>
  <si>
    <t>Adquisición de equipos tecnológicos (Estaciones de Trabajo)</t>
  </si>
  <si>
    <t>días</t>
  </si>
  <si>
    <t>Dotación de equipos                                                     Alquiler o compra de equipos</t>
  </si>
  <si>
    <t>Mónica Amado</t>
  </si>
  <si>
    <t>Adquisición de equipos tecnológicos (Computadores de escritorio)</t>
  </si>
  <si>
    <t>Adquisición de equipos tecnológicos (Computadores Portatiles)</t>
  </si>
  <si>
    <t>Adquisición de dispositivos periféricos (Escáner)</t>
  </si>
  <si>
    <t>Adquisición de dispositivos periféricos (Impresora láser y/o multifuncional)</t>
  </si>
  <si>
    <t xml:space="preserve">Servicio de resguardo y retención de backups históricos a disco </t>
  </si>
  <si>
    <t>Julio</t>
  </si>
  <si>
    <t>Servicios Tecnológicos para la ARN</t>
  </si>
  <si>
    <t>Merly Parra</t>
  </si>
  <si>
    <t>Adquisición de cámaras fotográficas y sus accesorios que requiere la Oficina Asesora de Comunicaciones de la ARN</t>
  </si>
  <si>
    <t>Selección Abreviada - Menor Cuantía</t>
  </si>
  <si>
    <t>Mauricio Forero (comunicaciones)
Merly Parra</t>
  </si>
  <si>
    <t>Adquisición de pantallas y software de control remoto para la divulgación de información institucional en las sedes de la ARN a nivel nacional</t>
  </si>
  <si>
    <t>Adquisición, instalación y puesta en funcionamiento de gabinetes tipo Mini Data Center y servicios conexos para la ARN</t>
  </si>
  <si>
    <t>Selección Abreviada - Subasta Inversa</t>
  </si>
  <si>
    <t>Marcela Ramírez Vélez</t>
  </si>
  <si>
    <t>Renovación y/o adquisición de licencias - Productos Microsoft - para la ARN</t>
  </si>
  <si>
    <t>Renovación y adquisición de licenciamiento de la entidad                         Alquiler o compra de equipos</t>
  </si>
  <si>
    <t>Edgar Benavides</t>
  </si>
  <si>
    <t xml:space="preserve">Renovación y/o adquisición de licencias - VMWARE - para la ARN. </t>
  </si>
  <si>
    <t xml:space="preserve">Renovación y/o adquisición de licencias - Creative Cloud - para la ARN. </t>
  </si>
  <si>
    <t>Octubre</t>
  </si>
  <si>
    <t xml:space="preserve">Renovación y/o adquisición de licencias  - Acrobat Professional - para la ARN. </t>
  </si>
  <si>
    <t xml:space="preserve">Adicion N° 1 -Renovación y/o adquisición de licencias - Solarwinds - para la ARN-. </t>
  </si>
  <si>
    <t>Renovación y/o adquisición de licencias - NVIVO plus edition para la ARN.  Contrato 1105 de 2020</t>
  </si>
  <si>
    <t>Diana Parra</t>
  </si>
  <si>
    <t xml:space="preserve">Recurso por Asignar "NVIVO" </t>
  </si>
  <si>
    <t xml:space="preserve">Renovación y/o adquisición de licencias - ArcServe - para la ARN. </t>
  </si>
  <si>
    <t>Renovación y/o adquisición de licencias - Comunicaciones unificadas - para la ARN.</t>
  </si>
  <si>
    <t>Adquisición de licencias - Antivirus</t>
  </si>
  <si>
    <t>Renovación y/o adquisición de licencias - DevExpress - para la ARN</t>
  </si>
  <si>
    <t>Adquisición de licencias - Prevención del plagio y control de originalidad de la información de la ARN</t>
  </si>
  <si>
    <r>
      <t xml:space="preserve">Renovación y/o adquisición de licencias - Microsoft Azure - para la ARN., </t>
    </r>
    <r>
      <rPr>
        <b/>
        <sz val="11"/>
        <color theme="1"/>
        <rFont val="Arial"/>
        <family val="2"/>
      </rPr>
      <t>Contrato 1084 de 2020</t>
    </r>
  </si>
  <si>
    <t>Contratación de Servicios de Soporte Microsoft Premier y Conexos</t>
  </si>
  <si>
    <t>Servicio Premier Microsoft  Conexos Licenciamiento</t>
  </si>
  <si>
    <t>A-03-03-01-001 A-03-10-01-002</t>
  </si>
  <si>
    <t>Hernan Lotero
Merly Parra</t>
  </si>
  <si>
    <t xml:space="preserve">Proceso Servicios Tecnológicos - Contrato 1807 del 2018 (Vig 19 Nov 2018 - 31 Jul 2022) (Servicio mesa de ayuda, etc) </t>
  </si>
  <si>
    <t>Servicio de Soporte, capacitación y migración de datos Sharepoint (Vig 01 Ene 2020 - 31 dic 2020) AMP -44643 -Contrato N° 1002 de 2020</t>
  </si>
  <si>
    <t>Hernan Lotero</t>
  </si>
  <si>
    <t>Recurso por asignar "Servicio de Soporte,"</t>
  </si>
  <si>
    <t>Recursos por asignar</t>
  </si>
  <si>
    <t>Certificaciones digitales</t>
  </si>
  <si>
    <t>Mínima Cuantía</t>
  </si>
  <si>
    <t>José Zarate</t>
  </si>
  <si>
    <t>Grupo de Talento Humano</t>
  </si>
  <si>
    <t>53101502
53101504
53101802
53101804
53111602
53111604
53111601</t>
  </si>
  <si>
    <t>Dotación de personal</t>
  </si>
  <si>
    <t>A-02-02-01-002</t>
  </si>
  <si>
    <t>MONICA BERNAL VANEGAS</t>
  </si>
  <si>
    <t>TALENTO HUMANO</t>
  </si>
  <si>
    <t>85122201
85121700</t>
  </si>
  <si>
    <t>Contratación de Servicios Médicos Ocupacionales</t>
  </si>
  <si>
    <t>Examenes Médicos Ocupacionales, actividades semana de la salud y vacunación ( exàmenes ingreso, retiro, periódicos)</t>
  </si>
  <si>
    <t>A-02-02-02-009</t>
  </si>
  <si>
    <t>5932211 
Ext 10601</t>
  </si>
  <si>
    <t>46182200  42171600  42201700   42271600    42271600</t>
  </si>
  <si>
    <t xml:space="preserve">Adquisición de elementos de protección personal, ergonómicos de Oficina y para emergencias para los colaboradores de la ARN - </t>
  </si>
  <si>
    <t>Adquisicion de EPP, elementos ergonómicos</t>
  </si>
  <si>
    <t>A-02-02-01-003-006  A-02-02-01-002-007    A-02-01-01-004-003   A-02-02-01-003-008   A-02-02-01-003-005    A-02-02-01-002-008</t>
  </si>
  <si>
    <t>5932211 
Ext 10602</t>
  </si>
  <si>
    <t>93141506
91101501
49201611</t>
  </si>
  <si>
    <t xml:space="preserve">Servicios de Bienestar Social (Gimnasios) </t>
  </si>
  <si>
    <t>Actividad de Bienestar Social - Salud y educación Física</t>
  </si>
  <si>
    <t>5932211 
Ext 10604</t>
  </si>
  <si>
    <t>86101705_x000D_
86101802_x000D_
86101808_x000D_
86111604</t>
  </si>
  <si>
    <t>Servicio de Capacitacion para funcionarios de la ARN - PIC</t>
  </si>
  <si>
    <t>Capacitación, cursos y seminarios</t>
  </si>
  <si>
    <t>5932211 
Ext 10605</t>
  </si>
  <si>
    <t>86101705
86101802
86101808
86111604</t>
  </si>
  <si>
    <t xml:space="preserve">Servicio de Capacitacion para funcionarios de la ARN - Congreso Contratación Estatal </t>
  </si>
  <si>
    <t>5932211 
Ext 10607</t>
  </si>
  <si>
    <t>Servicio de Capacitacion para funcionarios de la ARN - Congreso Derecho Procesal ICDP</t>
  </si>
  <si>
    <t>5932211 
Ext 10608</t>
  </si>
  <si>
    <t>Servicio de Capacitacion para funcionarios de la ARN - Congreso Derecho Disciplinario ICDD</t>
  </si>
  <si>
    <t>Noviembre</t>
  </si>
  <si>
    <t>5932211 
Ext 10609</t>
  </si>
  <si>
    <t>Servicio de Capacitacion para funcionarios de la ARN - Actualización Tributaria</t>
  </si>
  <si>
    <t>5932211 
Ext 10610</t>
  </si>
  <si>
    <t>Servicio de Capacitacion para funcionarios de la ARN - Actualización Jurídica Seminario</t>
  </si>
  <si>
    <t>3</t>
  </si>
  <si>
    <t>5932211 
Ext 10612</t>
  </si>
  <si>
    <t>93141506
90141502
90101600</t>
  </si>
  <si>
    <t>Servicio para la organización, coordinación y ejecución de actividades contenidas en el Plan de Bienestar social e Incentivos.</t>
  </si>
  <si>
    <t>Organización y logistica de las actividades a realizar por concepto de selección, salud ocupacional, bienestar y capacitación.</t>
  </si>
  <si>
    <t>5932211 
Ext 10613</t>
  </si>
  <si>
    <t xml:space="preserve">Suministro Tiquetes aereos - Contrato N° 1548 Vigencia Futura 2020 </t>
  </si>
  <si>
    <t>Adquisición de tiquetes al Exterior
Adquisición de tiquetes al Interior
Adquisición de tiquetes</t>
  </si>
  <si>
    <t>A-02-02-02-006
A-03-03-01-001</t>
  </si>
  <si>
    <t>5932211 
Ext 10614</t>
  </si>
  <si>
    <r>
      <t xml:space="preserve">Suministro tiquetes aéreos </t>
    </r>
    <r>
      <rPr>
        <b/>
        <sz val="11"/>
        <color theme="1"/>
        <rFont val="Arial"/>
        <family val="2"/>
      </rPr>
      <t>Vigencia para 2021</t>
    </r>
  </si>
  <si>
    <t>Servicio de procesamiento de la nómina de la Entidad Contrato N° 1076 de 2020</t>
  </si>
  <si>
    <t>Soporte Software Gestión Talento Humano</t>
  </si>
  <si>
    <t>A-02-02-02-008</t>
  </si>
  <si>
    <t>42132201                                                                        42131606</t>
  </si>
  <si>
    <t>Adquisición de elementos de Bioseguridad para afrontar la emergencia por COVID-19</t>
  </si>
  <si>
    <t>Adquisición de Elementos de Bioseguridad para afrontar la emergencia por COVID-1</t>
  </si>
  <si>
    <t>A-02-02-01-002-007              A-02-02-01-002-008                               A-02-01-01-004-008-002</t>
  </si>
  <si>
    <t>Servicio de apoyo, acompañamiento y orientación jurídica especializada, en materia de derecho administrativo, laboral, carrera administrativa y procedimientos de negociación y solución de controversias con las organizaciones sindicales de empleados públicos. Contrato N° 1080 de 2020</t>
  </si>
  <si>
    <t>Honorarios apoyo a la gestión</t>
  </si>
  <si>
    <t>5932211 
Ext 10615</t>
  </si>
  <si>
    <t>Recurso por asignar "Servicio de apoyo, acompañamiento y orientación jurídica especializada,"</t>
  </si>
  <si>
    <t>5932211 
Ext 10616</t>
  </si>
  <si>
    <t>Subdirección Financiera</t>
  </si>
  <si>
    <t>Adquisición de Firmas Digitales SIIF (Token)</t>
  </si>
  <si>
    <t>Adquisición de firmas digitales</t>
  </si>
  <si>
    <t>A-02-02-01-004-005</t>
  </si>
  <si>
    <t>Juan Carlos Herrán Vélez</t>
  </si>
  <si>
    <t>Convenio  PAZ PATRIMONIO AUTONOMO FONDO COLOMBIA EN PAZ - PA-FCP (Contrato No 1066 del 2018)</t>
  </si>
  <si>
    <t>Prórroga</t>
  </si>
  <si>
    <t>Articular esfuerzos entre el Patrimonio Autónomo Fondo Colombia en Paz y la Agencia para la materialización de los instrumentos establecidos en el Decreto ley 899 del 29 de mayo de 2017.</t>
  </si>
  <si>
    <t>NA</t>
  </si>
  <si>
    <r>
      <t xml:space="preserve">Comisión Fiduciaria para desembolso de beneficios a PPRs (Personas en Proceso de Reintegración) y Personas en Proceso de Reincorporación  (Vigencia Futura 2018) - Contrato N° 1806 del 2018 </t>
    </r>
    <r>
      <rPr>
        <b/>
        <sz val="11"/>
        <color theme="1"/>
        <rFont val="Arial"/>
        <family val="2"/>
      </rPr>
      <t>Vigencia Futura 2021</t>
    </r>
  </si>
  <si>
    <t>Comisión fiduciaria para desembolso de PPR</t>
  </si>
  <si>
    <t>84000000
84100000</t>
  </si>
  <si>
    <r>
      <t xml:space="preserve">Contratar al Banco Agrario de Colombia S.A., para prestar el servicio bancario de pagos de los beneficios económicos.  (De acuerdo a la normatividad Decreto 069 del 2018) - </t>
    </r>
    <r>
      <rPr>
        <b/>
        <sz val="11"/>
        <color theme="1"/>
        <rFont val="Arial"/>
        <family val="2"/>
      </rPr>
      <t xml:space="preserve">Vigencia Futura 2020 </t>
    </r>
    <r>
      <rPr>
        <sz val="11"/>
        <color theme="1"/>
        <rFont val="Arial"/>
        <family val="2"/>
      </rPr>
      <t>- Reintegración Contrato 1547 de 2019</t>
    </r>
  </si>
  <si>
    <t>Contratado</t>
  </si>
  <si>
    <t xml:space="preserve">Comisión Bancaria por desembolsos PPR (Reintegración)
Comisión Bancaria para realizar el desembolsos de los beneficios económicos a las integrantes FARC que se encuentran en listas inhibitorias internacionales y tienen cuenta Paz con el Banco Agrario de Colombia (Reincorporación) </t>
  </si>
  <si>
    <t>Deyanira Olivera</t>
  </si>
  <si>
    <t>Grupo de Atención al ciudadano</t>
  </si>
  <si>
    <t>Realizar un estudio de percepción y satisfacción frente a los servicios, beneficios y atención ofrecidos por la agencia para la reincorporación y normalización – ARN y dirigido a la población objeto de atención y el cliente interno de conformidad con el anexo no.1. “especificaciones técnicas minimas”</t>
  </si>
  <si>
    <t>Conocer la percepción y satisfacción de las Personas Desmovilizadas en Proceso de Reintegración, familias, actores externos y ciudadanos colombianos, frente a los servicios, beneficios y atención ofrecidos por la ARN</t>
  </si>
  <si>
    <t>Celmira Frasser Acevedo</t>
  </si>
  <si>
    <t>80141900  90111600 78111800 80160000 90101600</t>
  </si>
  <si>
    <t xml:space="preserve">Operador logístico misional </t>
  </si>
  <si>
    <t>Participar en ferias nacionales de servicio al ciudadano  (OPERADOR LOGISTICO)</t>
  </si>
  <si>
    <t>Centro de contacto Call Center - Vigencia Futura 2020</t>
  </si>
  <si>
    <t>Prestar servicio Call center, numeral 516 y línea 018000911516</t>
  </si>
  <si>
    <t>Centro de contacto Call Center - Vigencia Futura para 2021</t>
  </si>
  <si>
    <t xml:space="preserve">80141900 90111600  78111800 80111600  90101600                                                                                                                                                                              </t>
  </si>
  <si>
    <t>Fortalecimiento de la cultura de atención al ciudadano y proceso de atención al ciudadano (OPERADOR LOGISTICO)</t>
  </si>
  <si>
    <t>Oficina Asesora de Planeación</t>
  </si>
  <si>
    <t xml:space="preserve">Renovación de la licencia de uso y actualización, y el soporte y mantenimiento de la plataforma de gestión Tracking and Management System – TMS versión 2020, utilizado para la administración del Sistema Integrado de Gestión para la Reintegración –SIGER. </t>
  </si>
  <si>
    <t>Adquisición de la Licencia de actualización, soporte y mantenimiento del Software administrador del SIGER</t>
  </si>
  <si>
    <t xml:space="preserve">Celmira Frasser Acevedo </t>
  </si>
  <si>
    <t>80141900
90111600
78111800
80111600
90101600</t>
  </si>
  <si>
    <t xml:space="preserve">Realización de audiencias públicas </t>
  </si>
  <si>
    <t>Subdirección Administrativa</t>
  </si>
  <si>
    <t>Acuerdo de Participación de Terceros</t>
  </si>
  <si>
    <t>Administración de los ETCR                  Antiguos ETCR - Acuerdo de Participación de Terceros</t>
  </si>
  <si>
    <t xml:space="preserve">Jorge Ignacio Alvarez Lopez </t>
  </si>
  <si>
    <t>443 00 20
Ext 10600</t>
  </si>
  <si>
    <t>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 Contrato N° 1039 de 2020</t>
  </si>
  <si>
    <t>Antiguos ETCR - Póliza aseguramiento bienes                                      Administración de los ETCR</t>
  </si>
  <si>
    <t>Recurso por Asignar "Contrato de seguros ETCR"</t>
  </si>
  <si>
    <t>Antiguos ETCR - Póliza aseguramiento bienes                                                              Administración de los ETCR</t>
  </si>
  <si>
    <t>444 00 20
Ext 10600</t>
  </si>
  <si>
    <t>Grupo de Almacen e Inventarios</t>
  </si>
  <si>
    <t xml:space="preserve"> Actualización y mantenimiento del Software - Aladino (Gestión y Control de Inventarios) </t>
  </si>
  <si>
    <t xml:space="preserve">Actualizacion del aplicativo  Aladino </t>
  </si>
  <si>
    <t xml:space="preserve">A-02-02-02-008 </t>
  </si>
  <si>
    <t xml:space="preserve">Sandra Mayerly Avendano Blanco </t>
  </si>
  <si>
    <t>44121600
44121700
44121800
44122100
44122000</t>
  </si>
  <si>
    <t>Suministro de papelería y útiles de oficina</t>
  </si>
  <si>
    <t>Suministro de Papeleria ARN
Costos Programa de Reincorporación Económica y social (Administrativo)</t>
  </si>
  <si>
    <t>A-03-03-01-001
A-03-03-01-001</t>
  </si>
  <si>
    <t>Suministro de Tóner</t>
  </si>
  <si>
    <t>Suministro de Papeleria ARN     Costos Programa de Reincorporación Económica y social (Administrativo)</t>
  </si>
  <si>
    <t xml:space="preserve">A-03-03-01-001 </t>
  </si>
  <si>
    <t>Grupo de Gestión Documental</t>
  </si>
  <si>
    <t>Suministro de insumos de archivo</t>
  </si>
  <si>
    <t xml:space="preserve">Compra Insumos Gestión Documental </t>
  </si>
  <si>
    <t>A-02-02-01-003</t>
  </si>
  <si>
    <t xml:space="preserve">41115300 
41115309 
41112215 
41112300 
41112303 
21101800 
21101805 
52141800 
52141533 
60105700 
60105705 
60121100 
60121146_x000B_41112301_x000B_41112222 </t>
  </si>
  <si>
    <t xml:space="preserve">Adquisición de  equipos de monitoreo, herramientas y/o materiales especializados para conservación y/o restauración de los documentos de la ARN. </t>
  </si>
  <si>
    <t>Equipo de conservación documental</t>
  </si>
  <si>
    <t>A-02-01-01-004-004</t>
  </si>
  <si>
    <t>80131502
95141706</t>
  </si>
  <si>
    <t>Contrato Alquiler bodega (Vigencia Futura 2020 Contrato N° 1771 del 2018)</t>
  </si>
  <si>
    <t xml:space="preserve">Contrato Alquiler bodega Archivo </t>
  </si>
  <si>
    <r>
      <t xml:space="preserve">Contrato Alquiler bodega  desde julio de 2020 hasta diciembre </t>
    </r>
    <r>
      <rPr>
        <b/>
        <sz val="11"/>
        <color theme="1"/>
        <rFont val="Arial"/>
        <family val="2"/>
      </rPr>
      <t xml:space="preserve">Vigencia Futura para 2021 y 2022 </t>
    </r>
  </si>
  <si>
    <t>Servicios postales de correspondencia (Vigencia futura  2020) - Contrato N° 1779 del 2018</t>
  </si>
  <si>
    <t>Servicios Postales de Correspondencia</t>
  </si>
  <si>
    <t xml:space="preserve">Servicios postales de correspondencia desde julio de 2020 hasta 31 diciembre Vigencia Futura para 2021 y 2022 </t>
  </si>
  <si>
    <t>Grupo de Gestión Administrativa</t>
  </si>
  <si>
    <t>Contratación para Suministro de Combustible (Vigencia futura del 2020) - Contrato N° 1797 del 2018 (01 Dic 2020 al 30 Nov 2020)</t>
  </si>
  <si>
    <t>Contratación para Suministro de Combustible</t>
  </si>
  <si>
    <t>A-02-02-01-003-003</t>
  </si>
  <si>
    <t>Arnulfo Parrado Aguilera</t>
  </si>
  <si>
    <t>Contratación para Suministro de Combustible (Vigencia futura del 2020) - Contrato N° 1797 del 2018 (01 Dic 2020 al 31 Dic 2020) y contrato Nuevo</t>
  </si>
  <si>
    <t>Vigencia 2021</t>
  </si>
  <si>
    <t>A-02-02-01-003-004</t>
  </si>
  <si>
    <t>92121800
78111808</t>
  </si>
  <si>
    <t>Contratación servicio de vehículo Blindado y seguidor (Vigencia Futura 2020) - Contrato N°1801 del 2018  (01 Dic 2020 al 31 Dic  2020)</t>
  </si>
  <si>
    <t>Contratación Servicio de vehículo</t>
  </si>
  <si>
    <t>A-02-02-02-006-06
A-02-02-02-006-03
A-02-02-02-006-07-04
A-02-02-01-003-003-03</t>
  </si>
  <si>
    <t>92121800
78111809</t>
  </si>
  <si>
    <t>Nuevo contrato Contratación servicio de vehículo Blindado y seguidor Vigencia Futura para 2021 y 2022</t>
  </si>
  <si>
    <t>A-02-02-02-006-06
A-02-02-02-006-03
A-02-02-02-006-07-04
A-02-02-01-003-003-04</t>
  </si>
  <si>
    <t>78181507 25172500 25172504</t>
  </si>
  <si>
    <t>Mantenimiento parque automotor (Vigencia Futura 2020) - Contrato N°1817-2018 (01 Dic 2020 al 30 Nov  2020)</t>
  </si>
  <si>
    <t>Mantenimiento Parque automotor                        Mantenimiento Parque Automotor - Llantas                       Mantenimiento Parque Automotor - Repuestos</t>
  </si>
  <si>
    <t xml:space="preserve">A-02-02-01-003-006
A-02-02-01-003-007
A-02-02-02-008-007 
</t>
  </si>
  <si>
    <t>78181507 25172500 25172505</t>
  </si>
  <si>
    <t>Mantenimiento parque automotor (Vigencia Futura 2021 y 2022) -</t>
  </si>
  <si>
    <t>Mantenimiento Parque automotor</t>
  </si>
  <si>
    <t>95121503
72101508
76101502</t>
  </si>
  <si>
    <r>
      <t xml:space="preserve">Aseo, cafetería y mantenimiento - Vigencia Futura del 2020- </t>
    </r>
    <r>
      <rPr>
        <b/>
        <sz val="11"/>
        <color theme="1"/>
        <rFont val="Arial"/>
        <family val="2"/>
      </rPr>
      <t>Contrato No 1565 del 2019. O.C. 42088  (Regional 11)</t>
    </r>
  </si>
  <si>
    <t>Aseo Cafetería y Mantenimiento</t>
  </si>
  <si>
    <t xml:space="preserve"> A-02-02-02-008
 A-02-02-02-006
A-03-03-01-001</t>
  </si>
  <si>
    <t>Aseo, cafetería y mantenimiento -  (Regional 11). Vence 31/10/2020 hasta el 31/12/2020 Vigencia Futura para el 2021 y para el 2022</t>
  </si>
  <si>
    <t>Aseo, cafetería y mantenimiento -Vigencia Futura del 2020- Contratos No 1555 del 2019 (R1), 1556 (R2), 1557 (R3), 1558 (R4), 1559 (R5), 1560 (R6), 1561 (R7), 1562 (R8), 1563 (R9) y 1564 (R10)</t>
  </si>
  <si>
    <r>
      <t xml:space="preserve">Aseo, cafetería y mantenimiento (Contratos: R1 (Cont 1555), R2 (Cont 1556), R3 (Cont 1557), R4 (Cont 1558), R5 (Cont 1559), R6 (Cont 1560), R7 (Cont 1561), R8 (Cont 1562), R9 (Cont 1563) y R10 (Cont 1564)
 - </t>
    </r>
    <r>
      <rPr>
        <b/>
        <sz val="11"/>
        <color theme="1"/>
        <rFont val="Arial"/>
        <family val="2"/>
      </rPr>
      <t>Vence 15/11/2020 hasta el 31/12/2020  Vigencia Futura para el 2021 y para el 2022</t>
    </r>
  </si>
  <si>
    <t xml:space="preserve">Recurso por asignar: Aseo, cafetería y mantenimiento </t>
  </si>
  <si>
    <t>A-02-02-02-008
A-02-02-02-001</t>
  </si>
  <si>
    <t>95121503
72101508
76101503</t>
  </si>
  <si>
    <r>
      <t xml:space="preserve">Aseo, cafetería y Mantenimiento –Regional 6 y Regional 7 </t>
    </r>
    <r>
      <rPr>
        <b/>
        <sz val="11"/>
        <color theme="1"/>
        <rFont val="Arial"/>
        <family val="2"/>
      </rPr>
      <t>Contrato N° 1112-Contrato N° 1113</t>
    </r>
  </si>
  <si>
    <t>marzo</t>
  </si>
  <si>
    <t>95121503
72101508
76101504</t>
  </si>
  <si>
    <t>Recurso por Asignar "Aseo, cafetería y Mantenimiento –R6 y R"</t>
  </si>
  <si>
    <t>Contrato de arrendamiento Sede Central  (Nuevo Contrato)  con Vigencia Futura 2020 - Contrato N°  1605 de 2019</t>
  </si>
  <si>
    <t>Contratos de arrendamiento Sede Central</t>
  </si>
  <si>
    <t>A-02-02-02-007</t>
  </si>
  <si>
    <t>Contrato de arrendamiento Sede Alterna Edificio Santander Contrato Nuevo - Vigencia futura 2020 - Contrato N°  1778 del 2018</t>
  </si>
  <si>
    <t>Contrato de arrendamiento Sede Alterna Edificio Santander Contrato Nuevo - Vigencia futura Para 2021 - desde 30/11/2020 hasta el 15/12/2020</t>
  </si>
  <si>
    <t>Diciembre</t>
  </si>
  <si>
    <t>Contrato de arrendamiento Edificio Quintana piso 7  - Vigencia  futura 2020 (16 Dic 2019 al 15 Dic 2020) - Contrato N° 1803 del 2018</t>
  </si>
  <si>
    <t>Contratos de arrendamiento inmuebles para Grupos Territoriales</t>
  </si>
  <si>
    <t>Contrato de arrendamiento Edificio Quintana piso 8, 9 Y 10 - Vigencia futura 2020 (16 Dic 2019 al 15 Dic 2020) - Contrato N°1610 del 2019</t>
  </si>
  <si>
    <t>Contratos de arrendamiento 
inmuebles para Grupos Territoriales (Piso 8) (Reincorporación)
Costos CNR - CTR (Costos Administrativos) (Pisos 9 y 10) ( Reincorporación)</t>
  </si>
  <si>
    <t>Contrato de arrendamiento Edificio Quintana piso 8, 9 Y 10 - 16 (15 Dic 2020 al 31 Dic 2020) - Contrato N°1610 del 2019</t>
  </si>
  <si>
    <t>Contrato de arrendamiento ARN -Norte de Santander- Arauca (Arauca) (Contrato Nuevo) (16 Dic/19 al 15 Dic 2020) con Vigencia Futura del 2020 - Contrato N° 1595 del 2019</t>
  </si>
  <si>
    <t>Contrato de arrendamiento ARN Antioquia Choco (Quibdó) (Contrato Nuevo) (16 Dic/19 al 15 Dic 2020) Vigencia Futura del 2020 - Contrato N°  1613 del 2019</t>
  </si>
  <si>
    <t>Contrato de arrendamiento ARN Magdalena Guajira ( Riohacha) (16 Dic/19 al 15 Dic 2020) Vigencia Futura del 2020 - Contrato N° 1614 del 2019</t>
  </si>
  <si>
    <t>Contrato de arrendamiento ARN Meta Orinoquía (Punto de Atención San Jose del Guaviare ) (16 Dic/19 al 15 Dic 2020) Vigencia Futura del 2020 - Contrato N° 1596 del 2019</t>
  </si>
  <si>
    <t>Contrato de arrendamiento ARN Nueva sede Santander de Quilichao. Contrato N° 1077 de 2020</t>
  </si>
  <si>
    <t>Recurso por asignar "Contrato de arrendamiento ARN Nueva sede Santander de Quilichao"</t>
  </si>
  <si>
    <t>Contrato de arrendamiento ARN URABA (APARTADO) - (16 Dic/19 al 15 Dic 2020) Vigencia Futura del 2020 - Contrato N° 1575 del 2019</t>
  </si>
  <si>
    <t xml:space="preserve">Contrato de arrendamiento ARN ATLANTICO (BARRANQUILLA) -(16 Dic/19 al 15 Dic 2020) Vigencia Futura del 2020 - Contrato N° 1570 del 2019 </t>
  </si>
  <si>
    <t>Contrato de arrendamiento ARN BOLIVAR (CARTAGENA) - (16 Dic/19 al 15 Dic 2020) Vigencia Futura del 2020 - Contrato N° 1608 del 2019</t>
  </si>
  <si>
    <t>Contrato de arrendamiento ARN CORDOBA (MONTERIA)- (16 Dic/19 al 15 Dic 2020) Vigencia Futura del 2020 - Contrato N° 1607 del 2019</t>
  </si>
  <si>
    <t>Contrato de arrendamiento ARN CESAR (VALLEDUPAR) -(16 Dic/19 al 15 Dic 2020) Vigencia Futura del 2020 - Contrato N° 1574 del 2019</t>
  </si>
  <si>
    <t>Contrato de arrendamiento ARN MAGDALENA GUAJIRA (SANTA MARTA) - (16 Dic/19 al 15 Dic 2020) Vigencia Futura del 2020 - Contrato N° 1580 del 2019</t>
  </si>
  <si>
    <t>Contrato de arrendamiento ARN SUCRE (SINCELEJO) - (16 Dic/19 al 15 Dic 2020) Vigencia Futura del 2020 - Contrato N° 1593 del 2019</t>
  </si>
  <si>
    <t>Contrato de arrendamiento ARN VALLE DEL CAUCA (CALI)- (16 Dic/19 al 15 Dic 2020) Vigencia Futura del 2020 - Contrato N° 1584 del 2019</t>
  </si>
  <si>
    <t>Contrato de arrendamiento ARN PUNTO DE ATENCION CALI - (16 Dic/19 al 15 Dic 2020) Vigencia Futura del 2020 - Contrato N° 1612 del 2019</t>
  </si>
  <si>
    <t>Contrato de arrendamiento ARN PUTUMAYO (MOCOA) - (16 Dic/19 al 15 Dic 2020) Vigencia Futura del 2020 - Contrato N° 1599 del 2019</t>
  </si>
  <si>
    <t>Contrato de arrendamiento ARN HUILA (NEIVA) - (16 Dic/19 al 15 Dic 2020) Vigencia Futura del 2020 - Contrato N° 1597 del 2019</t>
  </si>
  <si>
    <t>Contrato de arrendamiento ARN NARIÑO (PASTO) - (16 Dic/19 al 15 Dic 2020) Vigencia Futura del 2020 - Contrato N° 1601 del 2019</t>
  </si>
  <si>
    <t>Contrato de arrendamiento ARN CAUCA (POPAYAN) - (16 Dic/19 al 15 Dic 2020) Vigencia Futura del 2020 - Contrato N° 1611 del 2019</t>
  </si>
  <si>
    <t>Contrato de arrendamiento ARN ALTO MAGDALENA MEDIO (PUERTO BERRIO) - (16 Dic/19 al 15 Dic 2020) Vigencia Futura del 2020 - Contrato N° 1603 del 2019</t>
  </si>
  <si>
    <t>Contrato de arrendamiento ARN SANTANDER Y ARAUCA (BUCARAMANGA- (16 Dic/19 al 15 Dic 2020) Vigencia Futura del 2020 - Contrato N° 1595 del 2019</t>
  </si>
  <si>
    <t>Contrato de arrendamiento -ARN BAJO MAGDALENA MEDIO (BARRANCABERMEJA) - (16 Dic/19 al 15 Dic 2020) Vigencia Futura del 2020 - Contrato N° 1577 del 2019</t>
  </si>
  <si>
    <t>Contrato de arrendamiento ARN NORTE DE SANTANDER- ARAUCA (CUCUTA) - (16 Dic/19 al 15 Dic 2020) Vigencia Futura del 2020 - Contrato N° 1600 del 2019</t>
  </si>
  <si>
    <t>Contrato de arrendamiento ARN TOLIMA (IBAGUE) - (16 Dic/19 al 15 Dic 2020) Vigencia Futura del 2020 - Contrato N° 1615 del 2019</t>
  </si>
  <si>
    <t>Contrato de arrendamiento ARN ANTIOQUIA CHOCO (MEDELLIN) - (16 Dic/19 al 15 Dic 2020) Vigencia Futura del 2020 - Contrato N° 1619 del 2019</t>
  </si>
  <si>
    <t>Contrato de arrendamiento ARN EJE CAFETERO (PEREIRA)- (16 Dic/19 al 15 Dic 2020) Vigencia Futura del 2020 - Contrato N° 1594 del 2019</t>
  </si>
  <si>
    <t>Contrato de arrendamiento ARN CAQUETA (FLORENCIA) - (16 Dic/19 al 15 Dic 2020) Vigencia Futura del 2020 - Contrato N° 1598 del 2019</t>
  </si>
  <si>
    <t>Contrato de arrendamiento ARN CASANARE (YOPAL) - (16 Dic/19 al 15 Dic 2020) Vigencia Futura del 2020 - Contrato N° 1568 del 2019</t>
  </si>
  <si>
    <t>Contrato de arrendamiento ARN META ORINOQUÍA (VILLAVICENCIO) - (16 Dic/19 al 15 Dic 2020) Vigencia Futura del 2020 - Contrato N° 1581 del 2019</t>
  </si>
  <si>
    <t>Contrato de arrendamiento ARN BOGOTA  (TUNJUELITO)- (16 Dic/19 al 15 Dic 2020) Vigencia Futura del 2020 - Contrato N° 1578 del 2019</t>
  </si>
  <si>
    <t>Contrato de arrendamiento ARN CUNDINAMARCA BOYACÁ (ENGATIVA) - (16 Dic/19 al 15 Dic 2020) Vigencia Futura del 2020 - Contrato N°1618 del 2019</t>
  </si>
  <si>
    <t>Contrato de arrendamiento ARN BOGOTÁ (KENNEDY) - (16 Dic/19 al 15 Dic 2020) Vigencia Futura del 2020 - Contrato N° 1583 del 2019</t>
  </si>
  <si>
    <t>Contrato de arrendamiento ARN BOGOTA (ANTONIO NARIÑO) - (16 Dic/19 al 15 Dic 2020) Vigencia Futura del 2020 - Contrato N° 1579 del 2019</t>
  </si>
  <si>
    <t>Contrato de arrendamiento ARN NARIÑO (TUMACO) - (16 Dic/19 al 15 Dic 2020) Vigencia Futura del 2020 - Contrato N°1602 del 2019</t>
  </si>
  <si>
    <t>Contrato de arrendamiento ARN CUNDINAMARCA BOYACÁ (SOACHA) - (16 Dic/19 al 15 Dic 2020) Vigencia Futura del 2020 - Contrato N° 1606 del 2019</t>
  </si>
  <si>
    <t xml:space="preserve">Contratos de arrendamiento Grupos Territoriales (16 Dic/20 al 30 Dic 2020) Vigencia para 2021 </t>
  </si>
  <si>
    <t>Adecuación de los inmuebles donde funciona las sedes de la Entidad</t>
  </si>
  <si>
    <t xml:space="preserve">Abril  </t>
  </si>
  <si>
    <t>Adecuaciones de las sedes de la ARN</t>
  </si>
  <si>
    <t>A-03-03-01-001 A-02-02-02-005-004</t>
  </si>
  <si>
    <t>Adecuación de los inmuebles donde funciona las sedes de la Entidad (definir Objeto)</t>
  </si>
  <si>
    <t>ADQUISICIÓN DE MOBILIARIO  PARA LAS DISTINTAS DEPENDENCIAS DE LA ARN, DE ACUERDO CON LO ESTABLECIDO EN EL ANEXO No. 1 “FICHA TECNICA</t>
  </si>
  <si>
    <t>Adquisición de Mobiliario</t>
  </si>
  <si>
    <t>A-02-01-01-003-008</t>
  </si>
  <si>
    <t>Adecuación de los inmuebles donde funciona las sedes de la Entidad Sala Amiga</t>
  </si>
  <si>
    <t>Adquisición elementos salas amigas</t>
  </si>
  <si>
    <t>72152104              30141500                72152100</t>
  </si>
  <si>
    <t>Suministro e instalación de películas control solar</t>
  </si>
  <si>
    <t xml:space="preserve">Adquisición de elementos requeridos para el funcionamiento </t>
  </si>
  <si>
    <t>A-02-02-01-003    A-02-02-01-003-006</t>
  </si>
  <si>
    <t>52131600
72153600</t>
  </si>
  <si>
    <t>Suministro e instalación de persianas control solar</t>
  </si>
  <si>
    <t>27113201              39121321                31211500                 39101500</t>
  </si>
  <si>
    <t xml:space="preserve">Ferreteria </t>
  </si>
  <si>
    <t>Adquisición elementos de Ferreteria</t>
  </si>
  <si>
    <t>72151207
40101701</t>
  </si>
  <si>
    <t xml:space="preserve">Contratación para Mantenimiento Aires Acondicionados </t>
  </si>
  <si>
    <t>Contratación para Mantenimiento Aires Acondicionados</t>
  </si>
  <si>
    <t>A-03-03-01-008</t>
  </si>
  <si>
    <t>72101500
40101701</t>
  </si>
  <si>
    <t>Compra e instalación de aires acondicionados y ventiladores</t>
  </si>
  <si>
    <t>A-02-01-01-004-003</t>
  </si>
  <si>
    <t>Compra y Mantenimiento Aires Acondicionados</t>
  </si>
  <si>
    <t>Contratación Seguros de la Entidad</t>
  </si>
  <si>
    <t>A-02-02-02-007                     A-03-03-01-001</t>
  </si>
  <si>
    <t xml:space="preserve">Contratación Seguros de Vehículos de la Entidad </t>
  </si>
  <si>
    <t>Año</t>
  </si>
  <si>
    <t>Contratación Seguros de la Entidad Poliza todo daño materiales -grupos territoriales-</t>
  </si>
  <si>
    <t>A-02-02-02-007                     A-03-03-01-002</t>
  </si>
  <si>
    <t>Adquisición de dispensadores de Agua - Adquisición de filtros de agua</t>
  </si>
  <si>
    <t>Extintores</t>
  </si>
  <si>
    <t>Rampas portátiles</t>
  </si>
  <si>
    <t>76122304
76122203
76122404                                                                                                                      76121501</t>
  </si>
  <si>
    <t>Contratar los servicios de transporte, almacenamiento temporal, tratamiento y/o disposición final adecuada de residuos peligrosos y/o especiales, generados por la Agencia para la Reincorporación y Normalización a Nivel Nacional.</t>
  </si>
  <si>
    <t xml:space="preserve">Elementos para el Plan de Gestión Ambiental  </t>
  </si>
  <si>
    <t>A-02-02-01-003 A-02-02-01-003-006</t>
  </si>
  <si>
    <t>Adquisición de contenedores para acopio de respel, así como tapas y canecas de puntos ecológicos existentes, para reemplazo de las actuales que presentan deterioro, para las sedes, grupos territoriales y/o puntos de atención de la ARN,</t>
  </si>
  <si>
    <t>Elementos para el Plan de Gestión Ambiental</t>
  </si>
  <si>
    <t>A-03-03-01-001    A-02-02-01-003-006</t>
  </si>
  <si>
    <t>Oficina Asesora de Comunicaciones</t>
  </si>
  <si>
    <t>Adquisición de Servicios editoriales, de impresión, publicación, y en general, producción de material de identidad visual, comunicativo y divulgativo que requiere la Agencia para la Reincorporación y la Normalización –ARN, en cumplimiento de su objeto misional. Contrato 1114 de 2020</t>
  </si>
  <si>
    <t>10</t>
  </si>
  <si>
    <t>Imprenta (Impresos y publicaciones)</t>
  </si>
  <si>
    <t>Mauricio Forero</t>
  </si>
  <si>
    <t>82101500
82101900
82101600
82111900
83121700
82131600
82141500
83121700</t>
  </si>
  <si>
    <t>Adquisición de servicios de agencia de comunicaciones  para la colocación de contenidos estratégicos en canales tradicionales y no tradicionales, incluyendo la preproducción, producción, posproducción de contenidos audiovisuales que requiera la Agencia para la Reincorporación y la Normalización (ARN) en cumplimiento de su objeto misional.</t>
  </si>
  <si>
    <t>9</t>
  </si>
  <si>
    <t>Central de medios y monitoreo de medios</t>
  </si>
  <si>
    <t>Adquisición de servicios de seguimiento a los contenidos publicados en medios de comunicaicón relacionados con las políticas desarrolladas por la Agencia para la Reincorporación y la Normalización-ARN,</t>
  </si>
  <si>
    <t>7</t>
  </si>
  <si>
    <t>78111800
80111600
80141900
82112000
90111600
90101600</t>
  </si>
  <si>
    <t xml:space="preserve">Estrategia de apropiación de la política en lo territorial </t>
  </si>
  <si>
    <t>Oficina Asesora Jurídica</t>
  </si>
  <si>
    <t>Suscripción gestor de actualización normativa de apoyo a la gestión de la Entidad</t>
  </si>
  <si>
    <t>Suscripción actualización normativa</t>
  </si>
  <si>
    <t>JAVIER AUGUSTO SARMIENTO OLARTE</t>
  </si>
  <si>
    <t>Bogotá D.C.</t>
  </si>
  <si>
    <t>4430020
Ext 10600</t>
  </si>
  <si>
    <t>Apoyo logístico misional  -Primera Jornada de Díalogos Jurídicos " Régimenes Transicionales de Justicia y el contexto de la Reincorporación"-</t>
  </si>
  <si>
    <t>Contratar los servicios profesionales para brindar apoyo en cada una de las fases de la consulta previa con el pueblo Yukpa, que se debe realizar en cumplimiento de la Sentencia T 713 de 2017 proferida por la Corte Constitucional.</t>
  </si>
  <si>
    <t>Servicios profesionales consulta previa con el pueblo Yukpa</t>
  </si>
  <si>
    <t>Grupo de Corresponsabilidad</t>
  </si>
  <si>
    <t>80141900 90111600
78111800 
80111600 
90101600</t>
  </si>
  <si>
    <t xml:space="preserve">1. Participación de la ARN en espacios de encuentro (foros, seminarios, conversatorios, etc). OPERADOR LOGISTICO
2.  Espacios de Deliberación (OPERADOR LOGÍSTICO)
</t>
  </si>
  <si>
    <t>1. A-03-03-01-001
2. OJO Para el punto 2 cambia el Rubro</t>
  </si>
  <si>
    <t xml:space="preserve">El contrato sale de la subdireccion administrativa </t>
  </si>
  <si>
    <t>Gupo de gestion contractual</t>
  </si>
  <si>
    <t xml:space="preserve">Bogota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</si>
</sst>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quot;$&quot;\ * #,##0_-;_-&quot;$&quot;\ * &quot;-&quot;_-;_-@_-"/>
    <numFmt numFmtId="165" formatCode="_-* #,##0_-;\-* #,##0_-;_-* &quot;-&quot;_-;_-@_-"/>
    <numFmt numFmtId="166" formatCode="&quot;$&quot;\ #,##0"/>
    <numFmt numFmtId="167" formatCode="&quot;$&quot;\ #,##0;[Red]\-&quot;$&quot;\ #,##0"/>
    <numFmt numFmtId="168" formatCode="mmm\-\ yyyy;@"/>
    <numFmt numFmtId="171" formatCode="0.0"/>
    <numFmt numFmtId="172" formatCode="[$-F800]dddd\,\ mmmm\ dd\,\ yyyy"/>
  </numFmts>
  <fonts count="22" x14ac:knownFonts="1">
    <font>
      <sz val="10"/>
      <color theme="1"/>
      <name val="Arial"/>
      <family val="2"/>
    </font>
    <font>
      <sz val="11"/>
      <color theme="1"/>
      <name val="Calibri"/>
      <family val="2"/>
      <scheme val="minor"/>
    </font>
    <font>
      <sz val="11"/>
      <color rgb="FF006100"/>
      <name val="Calibri"/>
      <family val="2"/>
      <scheme val="minor"/>
    </font>
    <font>
      <sz val="10"/>
      <color theme="1"/>
      <name val="Arial"/>
      <family val="2"/>
    </font>
    <font>
      <b/>
      <sz val="14"/>
      <color theme="1"/>
      <name val="Verdana"/>
      <family val="2"/>
    </font>
    <font>
      <b/>
      <sz val="12"/>
      <color theme="1"/>
      <name val="Arial"/>
      <family val="2"/>
    </font>
    <font>
      <sz val="10"/>
      <color theme="1"/>
      <name val="Verdana"/>
      <family val="2"/>
    </font>
    <font>
      <b/>
      <sz val="11"/>
      <color theme="1"/>
      <name val="Arial"/>
      <family val="2"/>
    </font>
    <font>
      <b/>
      <sz val="10"/>
      <color theme="1"/>
      <name val="Verdana"/>
      <family val="2"/>
    </font>
    <font>
      <sz val="11"/>
      <color theme="1"/>
      <name val="Arial"/>
      <family val="2"/>
    </font>
    <font>
      <sz val="10"/>
      <color theme="1"/>
      <name val="Calibri"/>
      <family val="2"/>
      <scheme val="minor"/>
    </font>
    <font>
      <sz val="11"/>
      <color rgb="FFFF0000"/>
      <name val="Arial"/>
      <family val="2"/>
    </font>
    <font>
      <u/>
      <sz val="10"/>
      <color theme="10"/>
      <name val="Arial"/>
      <family val="2"/>
    </font>
    <font>
      <u/>
      <sz val="11"/>
      <color theme="1"/>
      <name val="Arial"/>
      <family val="2"/>
    </font>
    <font>
      <sz val="10"/>
      <color rgb="FFFF0000"/>
      <name val="Calibri"/>
      <family val="2"/>
      <scheme val="minor"/>
    </font>
    <font>
      <sz val="11"/>
      <name val="Arial"/>
      <family val="2"/>
    </font>
    <font>
      <b/>
      <sz val="11"/>
      <color rgb="FFFF0000"/>
      <name val="Arial"/>
      <family val="2"/>
    </font>
    <font>
      <sz val="10"/>
      <color rgb="FFFF0000"/>
      <name val="Arial"/>
      <family val="2"/>
    </font>
    <font>
      <sz val="11"/>
      <color rgb="FF00B050"/>
      <name val="Arial"/>
      <family val="2"/>
    </font>
    <font>
      <sz val="11"/>
      <color rgb="FF1F497D"/>
      <name val="Calibri"/>
      <family val="2"/>
    </font>
    <font>
      <b/>
      <sz val="9"/>
      <color indexed="81"/>
      <name val="Tahoma"/>
      <family val="2"/>
    </font>
    <font>
      <sz val="9"/>
      <color indexed="81"/>
      <name val="Tahoma"/>
      <family val="2"/>
    </font>
  </fonts>
  <fills count="14">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808080"/>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bgColor indexed="64"/>
      </patternFill>
    </fill>
    <fill>
      <patternFill patternType="solid">
        <fgColor theme="0"/>
        <bgColor rgb="FF000000"/>
      </patternFill>
    </fill>
    <fill>
      <patternFill patternType="solid">
        <fgColor theme="8" tint="0.59999389629810485"/>
        <bgColor indexed="64"/>
      </patternFill>
    </fill>
    <fill>
      <patternFill patternType="solid">
        <fgColor theme="8" tint="0.59999389629810485"/>
        <bgColor rgb="FF000000"/>
      </patternFill>
    </fill>
    <fill>
      <patternFill patternType="solid">
        <fgColor rgb="FFFFC000"/>
        <bgColor indexed="64"/>
      </patternFill>
    </fill>
    <fill>
      <patternFill patternType="solid">
        <fgColor rgb="FFFFC000"/>
        <bgColor rgb="FF000000"/>
      </patternFill>
    </fill>
    <fill>
      <patternFill patternType="solid">
        <fgColor indexed="65"/>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s>
  <cellStyleXfs count="12">
    <xf numFmtId="0" fontId="0" fillId="0" borderId="0"/>
    <xf numFmtId="165" fontId="3" fillId="0" borderId="0" applyFont="0" applyFill="0" applyBorder="0" applyAlignment="0" applyProtection="0"/>
    <xf numFmtId="164" fontId="3" fillId="0" borderId="0" applyFont="0" applyFill="0" applyBorder="0" applyAlignment="0" applyProtection="0"/>
    <xf numFmtId="0" fontId="2" fillId="2" borderId="0" applyNumberFormat="0" applyBorder="0" applyAlignment="0" applyProtection="0"/>
    <xf numFmtId="0" fontId="12" fillId="0" borderId="0" applyNumberFormat="0" applyFill="0" applyBorder="0" applyAlignment="0" applyProtection="0"/>
    <xf numFmtId="0" fontId="4" fillId="4" borderId="1" applyNumberFormat="0" applyProtection="0">
      <alignment horizontal="left" vertical="center"/>
    </xf>
    <xf numFmtId="49" fontId="6" fillId="0" borderId="0" applyFill="0" applyBorder="0" applyProtection="0">
      <alignment horizontal="left" vertical="center"/>
    </xf>
    <xf numFmtId="0" fontId="8" fillId="6" borderId="0" applyNumberFormat="0" applyBorder="0" applyProtection="0">
      <alignment horizontal="center" vertical="center"/>
    </xf>
    <xf numFmtId="0" fontId="1" fillId="0" borderId="0"/>
    <xf numFmtId="0" fontId="1" fillId="0" borderId="0"/>
    <xf numFmtId="0" fontId="12" fillId="0" borderId="0" applyNumberFormat="0" applyFill="0" applyBorder="0" applyAlignment="0" applyProtection="0"/>
    <xf numFmtId="165" fontId="3" fillId="0" borderId="0" applyFont="0" applyFill="0" applyBorder="0" applyAlignment="0" applyProtection="0"/>
  </cellStyleXfs>
  <cellXfs count="276">
    <xf numFmtId="0" fontId="0" fillId="0" borderId="0" xfId="0"/>
    <xf numFmtId="0" fontId="0" fillId="3" borderId="0" xfId="0"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vertical="center"/>
      <protection locked="0"/>
    </xf>
    <xf numFmtId="164" fontId="0" fillId="3" borderId="0" xfId="2" applyFont="1" applyFill="1" applyAlignment="1" applyProtection="1">
      <alignment vertical="center"/>
      <protection locked="0"/>
    </xf>
    <xf numFmtId="0" fontId="0" fillId="3" borderId="0" xfId="0" applyFill="1" applyAlignment="1" applyProtection="1">
      <alignment vertical="center"/>
    </xf>
    <xf numFmtId="0" fontId="0" fillId="3" borderId="0" xfId="0" applyFill="1" applyAlignment="1">
      <alignment vertical="center"/>
    </xf>
    <xf numFmtId="0" fontId="4" fillId="3" borderId="0" xfId="5" applyFill="1" applyBorder="1" applyAlignment="1" applyProtection="1">
      <alignment horizontal="left" vertical="center"/>
    </xf>
    <xf numFmtId="0" fontId="5" fillId="3"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49" fontId="7" fillId="5" borderId="2" xfId="6" applyFont="1" applyFill="1" applyBorder="1" applyAlignment="1" applyProtection="1">
      <alignment horizontal="center" vertical="center" wrapText="1"/>
      <protection locked="0"/>
    </xf>
    <xf numFmtId="49" fontId="7" fillId="5" borderId="3" xfId="6" applyFont="1" applyFill="1" applyBorder="1" applyAlignment="1" applyProtection="1">
      <alignment horizontal="center" vertical="center" wrapText="1"/>
      <protection locked="0"/>
    </xf>
    <xf numFmtId="0" fontId="7" fillId="5" borderId="3" xfId="7" applyFont="1" applyFill="1" applyBorder="1" applyAlignment="1" applyProtection="1">
      <alignment horizontal="center" vertical="center" wrapText="1"/>
    </xf>
    <xf numFmtId="164" fontId="7" fillId="5" borderId="3" xfId="2" applyFont="1" applyFill="1" applyBorder="1" applyAlignment="1" applyProtection="1">
      <alignment horizontal="center" vertical="center" wrapText="1"/>
      <protection locked="0"/>
    </xf>
    <xf numFmtId="49" fontId="7" fillId="5" borderId="3" xfId="6" applyFont="1" applyFill="1" applyBorder="1" applyAlignment="1" applyProtection="1">
      <alignment horizontal="center" vertical="center"/>
      <protection locked="0"/>
    </xf>
    <xf numFmtId="49" fontId="7" fillId="5" borderId="3" xfId="6" applyFont="1" applyFill="1" applyBorder="1" applyAlignment="1" applyProtection="1">
      <alignment horizontal="center" vertical="center" wrapText="1"/>
    </xf>
    <xf numFmtId="0" fontId="0" fillId="0" borderId="0" xfId="0" applyAlignment="1">
      <alignment vertical="center"/>
    </xf>
    <xf numFmtId="49" fontId="9" fillId="3" borderId="4" xfId="6" applyFont="1" applyFill="1" applyBorder="1" applyAlignment="1" applyProtection="1">
      <alignment horizontal="center" vertical="center" wrapText="1"/>
      <protection locked="0"/>
    </xf>
    <xf numFmtId="0" fontId="9" fillId="3" borderId="1" xfId="8" applyFont="1" applyFill="1" applyBorder="1" applyAlignment="1">
      <alignment horizontal="center" vertical="center" wrapText="1"/>
    </xf>
    <xf numFmtId="0" fontId="9" fillId="8" borderId="1" xfId="8" applyFont="1" applyFill="1" applyBorder="1" applyAlignment="1">
      <alignment vertical="center" wrapText="1"/>
    </xf>
    <xf numFmtId="14" fontId="10" fillId="8" borderId="1" xfId="8" applyNumberFormat="1" applyFont="1" applyFill="1" applyBorder="1" applyAlignment="1">
      <alignment horizontal="center" vertical="center" wrapText="1"/>
    </xf>
    <xf numFmtId="17" fontId="9" fillId="8" borderId="1" xfId="8" applyNumberFormat="1" applyFont="1" applyFill="1" applyBorder="1" applyAlignment="1">
      <alignment horizontal="center" vertical="center" wrapText="1"/>
    </xf>
    <xf numFmtId="3" fontId="9" fillId="3" borderId="1" xfId="6" applyNumberFormat="1" applyFont="1" applyFill="1" applyBorder="1" applyAlignment="1" applyProtection="1">
      <alignment horizontal="center" vertical="center" wrapText="1"/>
      <protection locked="0"/>
    </xf>
    <xf numFmtId="166" fontId="9" fillId="8" borderId="1" xfId="1" applyNumberFormat="1" applyFont="1" applyFill="1" applyBorder="1" applyAlignment="1">
      <alignment horizontal="center" vertical="center" wrapText="1"/>
    </xf>
    <xf numFmtId="0" fontId="9" fillId="8" borderId="1" xfId="8" applyFont="1" applyFill="1" applyBorder="1" applyAlignment="1">
      <alignment horizontal="center" vertical="center" wrapText="1"/>
    </xf>
    <xf numFmtId="0" fontId="9" fillId="3" borderId="1" xfId="0" applyFont="1" applyFill="1" applyBorder="1" applyAlignment="1">
      <alignment horizontal="justify" vertical="center" wrapText="1"/>
    </xf>
    <xf numFmtId="164" fontId="9" fillId="3" borderId="1" xfId="2" applyFont="1" applyFill="1" applyBorder="1" applyAlignment="1" applyProtection="1">
      <alignment horizontal="center" vertical="center" wrapText="1"/>
      <protection locked="0"/>
    </xf>
    <xf numFmtId="164" fontId="9" fillId="8" borderId="1" xfId="2" applyFont="1" applyFill="1" applyBorder="1" applyAlignment="1">
      <alignment horizontal="center" vertical="center" wrapText="1"/>
    </xf>
    <xf numFmtId="167" fontId="11" fillId="8" borderId="1" xfId="2" applyNumberFormat="1" applyFont="1" applyFill="1" applyBorder="1" applyAlignment="1">
      <alignment horizontal="center" vertical="center" wrapText="1"/>
    </xf>
    <xf numFmtId="49" fontId="9" fillId="3" borderId="1" xfId="6" applyFont="1" applyFill="1" applyBorder="1" applyAlignment="1" applyProtection="1">
      <alignment horizontal="center" vertical="center" wrapText="1"/>
      <protection locked="0"/>
    </xf>
    <xf numFmtId="1" fontId="9" fillId="3" borderId="1" xfId="6" applyNumberFormat="1" applyFont="1" applyFill="1" applyBorder="1" applyAlignment="1" applyProtection="1">
      <alignment horizontal="center" vertical="center" wrapText="1"/>
      <protection locked="0"/>
    </xf>
    <xf numFmtId="49" fontId="13" fillId="3" borderId="1" xfId="4" applyNumberFormat="1" applyFont="1" applyFill="1" applyBorder="1" applyAlignment="1" applyProtection="1">
      <alignment horizontal="left" vertical="center" wrapText="1"/>
    </xf>
    <xf numFmtId="49" fontId="9" fillId="3" borderId="1" xfId="6" applyFont="1" applyFill="1" applyBorder="1" applyAlignment="1" applyProtection="1">
      <alignment horizontal="center" vertical="center" wrapText="1"/>
    </xf>
    <xf numFmtId="49" fontId="9" fillId="9" borderId="4" xfId="6" applyFont="1" applyFill="1" applyBorder="1" applyAlignment="1" applyProtection="1">
      <alignment horizontal="center" vertical="center" wrapText="1"/>
      <protection locked="0"/>
    </xf>
    <xf numFmtId="0" fontId="9" fillId="9" borderId="1" xfId="8" applyFont="1" applyFill="1" applyBorder="1" applyAlignment="1">
      <alignment horizontal="center" vertical="center" wrapText="1"/>
    </xf>
    <xf numFmtId="0" fontId="9" fillId="10" borderId="1" xfId="8" applyFont="1" applyFill="1" applyBorder="1" applyAlignment="1">
      <alignment vertical="center" wrapText="1"/>
    </xf>
    <xf numFmtId="14" fontId="9" fillId="10" borderId="1" xfId="8" applyNumberFormat="1" applyFont="1" applyFill="1" applyBorder="1" applyAlignment="1">
      <alignment vertical="center" wrapText="1"/>
    </xf>
    <xf numFmtId="14" fontId="10" fillId="10" borderId="1" xfId="8" applyNumberFormat="1" applyFont="1" applyFill="1" applyBorder="1" applyAlignment="1">
      <alignment horizontal="center" vertical="center" wrapText="1"/>
    </xf>
    <xf numFmtId="17" fontId="9" fillId="10" borderId="1" xfId="8" applyNumberFormat="1" applyFont="1" applyFill="1" applyBorder="1" applyAlignment="1">
      <alignment horizontal="center" vertical="center" wrapText="1"/>
    </xf>
    <xf numFmtId="3" fontId="9" fillId="9" borderId="1" xfId="6" applyNumberFormat="1" applyFont="1" applyFill="1" applyBorder="1" applyAlignment="1" applyProtection="1">
      <alignment horizontal="center" vertical="center" wrapText="1"/>
      <protection locked="0"/>
    </xf>
    <xf numFmtId="166" fontId="9" fillId="10" borderId="1" xfId="1" applyNumberFormat="1" applyFont="1" applyFill="1" applyBorder="1" applyAlignment="1">
      <alignment horizontal="center" vertical="center" wrapText="1"/>
    </xf>
    <xf numFmtId="0" fontId="9" fillId="10" borderId="1" xfId="8" applyFont="1" applyFill="1" applyBorder="1" applyAlignment="1">
      <alignment horizontal="center" vertical="center" wrapText="1"/>
    </xf>
    <xf numFmtId="0" fontId="9" fillId="9" borderId="1" xfId="0" applyFont="1" applyFill="1" applyBorder="1" applyAlignment="1">
      <alignment horizontal="justify" vertical="center" wrapText="1"/>
    </xf>
    <xf numFmtId="164" fontId="9" fillId="9" borderId="1" xfId="2" applyFont="1" applyFill="1" applyBorder="1" applyAlignment="1" applyProtection="1">
      <alignment horizontal="center" vertical="center" wrapText="1"/>
      <protection locked="0"/>
    </xf>
    <xf numFmtId="164" fontId="9" fillId="10" borderId="1" xfId="2" applyFont="1" applyFill="1" applyBorder="1" applyAlignment="1">
      <alignment horizontal="center" vertical="center" wrapText="1"/>
    </xf>
    <xf numFmtId="49" fontId="9" fillId="9" borderId="1" xfId="6" applyFont="1" applyFill="1" applyBorder="1" applyAlignment="1" applyProtection="1">
      <alignment horizontal="center" vertical="center" wrapText="1"/>
      <protection locked="0"/>
    </xf>
    <xf numFmtId="1" fontId="9" fillId="9" borderId="1" xfId="6" applyNumberFormat="1" applyFont="1" applyFill="1" applyBorder="1" applyAlignment="1" applyProtection="1">
      <alignment horizontal="center" vertical="center" wrapText="1"/>
      <protection locked="0"/>
    </xf>
    <xf numFmtId="49" fontId="13" fillId="9" borderId="1" xfId="4" applyNumberFormat="1" applyFont="1" applyFill="1" applyBorder="1" applyAlignment="1" applyProtection="1">
      <alignment horizontal="left" vertical="center" wrapText="1"/>
    </xf>
    <xf numFmtId="49" fontId="9" fillId="9" borderId="1" xfId="6" applyFont="1" applyFill="1" applyBorder="1" applyAlignment="1" applyProtection="1">
      <alignment horizontal="center" vertical="center" wrapText="1"/>
    </xf>
    <xf numFmtId="14" fontId="9" fillId="8" borderId="1" xfId="8" applyNumberFormat="1" applyFont="1" applyFill="1" applyBorder="1" applyAlignment="1">
      <alignment vertical="center" wrapText="1"/>
    </xf>
    <xf numFmtId="164" fontId="11" fillId="8" borderId="1" xfId="2" applyFont="1" applyFill="1" applyBorder="1" applyAlignment="1">
      <alignment horizontal="center" vertical="center" wrapText="1"/>
    </xf>
    <xf numFmtId="164" fontId="11" fillId="10" borderId="1" xfId="2" applyFont="1" applyFill="1" applyBorder="1" applyAlignment="1">
      <alignment horizontal="center" vertical="center" wrapText="1"/>
    </xf>
    <xf numFmtId="0" fontId="9" fillId="10" borderId="1" xfId="8" applyFont="1" applyFill="1" applyBorder="1" applyAlignment="1">
      <alignment horizontal="justify" vertical="center" wrapText="1"/>
    </xf>
    <xf numFmtId="0" fontId="9" fillId="9" borderId="1" xfId="6" applyNumberFormat="1" applyFont="1" applyFill="1" applyBorder="1" applyAlignment="1" applyProtection="1">
      <alignment horizontal="center" vertical="center" wrapText="1"/>
      <protection locked="0"/>
    </xf>
    <xf numFmtId="14" fontId="14" fillId="8" borderId="1" xfId="8"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wrapText="1" readingOrder="1"/>
    </xf>
    <xf numFmtId="49" fontId="9" fillId="11" borderId="4" xfId="6" applyFont="1" applyFill="1" applyBorder="1" applyAlignment="1" applyProtection="1">
      <alignment horizontal="center" vertical="center" wrapText="1"/>
      <protection locked="0"/>
    </xf>
    <xf numFmtId="0" fontId="9" fillId="11" borderId="1" xfId="8" applyFont="1" applyFill="1" applyBorder="1" applyAlignment="1">
      <alignment horizontal="center" vertical="center" wrapText="1"/>
    </xf>
    <xf numFmtId="0" fontId="9" fillId="12" borderId="1" xfId="8" applyFont="1" applyFill="1" applyBorder="1" applyAlignment="1">
      <alignment vertical="center" wrapText="1"/>
    </xf>
    <xf numFmtId="14" fontId="10" fillId="12" borderId="1" xfId="8" applyNumberFormat="1" applyFont="1" applyFill="1" applyBorder="1" applyAlignment="1">
      <alignment horizontal="center" vertical="center" wrapText="1"/>
    </xf>
    <xf numFmtId="49" fontId="9" fillId="11" borderId="1" xfId="6" applyFont="1" applyFill="1" applyBorder="1" applyAlignment="1" applyProtection="1">
      <alignment horizontal="center" vertical="center" wrapText="1"/>
      <protection locked="0"/>
    </xf>
    <xf numFmtId="0" fontId="9" fillId="11" borderId="1" xfId="0" applyNumberFormat="1" applyFont="1" applyFill="1" applyBorder="1" applyAlignment="1">
      <alignment horizontal="center" vertical="center" wrapText="1" readingOrder="1"/>
    </xf>
    <xf numFmtId="0" fontId="9" fillId="11" borderId="1" xfId="6" applyNumberFormat="1" applyFont="1" applyFill="1" applyBorder="1" applyAlignment="1" applyProtection="1">
      <alignment horizontal="center" vertical="center" wrapText="1"/>
      <protection locked="0"/>
    </xf>
    <xf numFmtId="166" fontId="9" fillId="12" borderId="1" xfId="1" applyNumberFormat="1" applyFont="1" applyFill="1" applyBorder="1" applyAlignment="1">
      <alignment horizontal="center" vertical="center" wrapText="1"/>
    </xf>
    <xf numFmtId="0" fontId="11" fillId="12" borderId="1" xfId="8" applyFont="1" applyFill="1" applyBorder="1" applyAlignment="1">
      <alignment horizontal="center" vertical="center" wrapText="1"/>
    </xf>
    <xf numFmtId="0" fontId="9" fillId="11" borderId="1" xfId="0" applyFont="1" applyFill="1" applyBorder="1" applyAlignment="1">
      <alignment horizontal="justify" vertical="center" wrapText="1"/>
    </xf>
    <xf numFmtId="164" fontId="9" fillId="11" borderId="1" xfId="2" applyFont="1" applyFill="1" applyBorder="1" applyAlignment="1" applyProtection="1">
      <alignment horizontal="center" vertical="center" wrapText="1"/>
      <protection locked="0"/>
    </xf>
    <xf numFmtId="164" fontId="9" fillId="12" borderId="1" xfId="2" applyFont="1" applyFill="1" applyBorder="1" applyAlignment="1">
      <alignment horizontal="center" vertical="center" wrapText="1"/>
    </xf>
    <xf numFmtId="1" fontId="9" fillId="11" borderId="1" xfId="6" applyNumberFormat="1" applyFont="1" applyFill="1" applyBorder="1" applyAlignment="1" applyProtection="1">
      <alignment horizontal="center" vertical="center" wrapText="1"/>
      <protection locked="0"/>
    </xf>
    <xf numFmtId="49" fontId="13" fillId="11" borderId="1" xfId="4" applyNumberFormat="1" applyFont="1" applyFill="1" applyBorder="1" applyAlignment="1" applyProtection="1">
      <alignment horizontal="left" vertical="center" wrapText="1"/>
    </xf>
    <xf numFmtId="14" fontId="11" fillId="12" borderId="1" xfId="8" applyNumberFormat="1" applyFont="1" applyFill="1" applyBorder="1" applyAlignment="1">
      <alignment horizontal="center" vertical="center" wrapText="1"/>
    </xf>
    <xf numFmtId="0" fontId="9" fillId="12" borderId="1" xfId="8" applyFont="1" applyFill="1" applyBorder="1" applyAlignment="1">
      <alignment horizontal="center" vertical="center" wrapText="1"/>
    </xf>
    <xf numFmtId="164" fontId="9" fillId="11" borderId="1" xfId="2" applyNumberFormat="1" applyFont="1" applyFill="1" applyBorder="1" applyAlignment="1" applyProtection="1">
      <alignment horizontal="center" vertical="center" wrapText="1"/>
      <protection locked="0"/>
    </xf>
    <xf numFmtId="49" fontId="9" fillId="11" borderId="1" xfId="6" applyFont="1" applyFill="1" applyBorder="1" applyAlignment="1" applyProtection="1">
      <alignment horizontal="center" vertical="center" wrapText="1"/>
    </xf>
    <xf numFmtId="17" fontId="9" fillId="12" borderId="1" xfId="8" applyNumberFormat="1" applyFont="1" applyFill="1" applyBorder="1" applyAlignment="1">
      <alignment horizontal="center" vertical="center" wrapText="1"/>
    </xf>
    <xf numFmtId="0" fontId="9" fillId="12" borderId="1" xfId="8" applyFont="1" applyFill="1" applyBorder="1" applyAlignment="1">
      <alignment horizontal="justify" vertical="center" wrapText="1"/>
    </xf>
    <xf numFmtId="164" fontId="11" fillId="11" borderId="1" xfId="2" applyFont="1" applyFill="1" applyBorder="1" applyAlignment="1" applyProtection="1">
      <alignment horizontal="center" vertical="center" wrapText="1"/>
      <protection locked="0"/>
    </xf>
    <xf numFmtId="0" fontId="9" fillId="11" borderId="1" xfId="0" applyFont="1" applyFill="1" applyBorder="1" applyAlignment="1">
      <alignment horizontal="center" vertical="center" wrapText="1"/>
    </xf>
    <xf numFmtId="0" fontId="11" fillId="12" borderId="1" xfId="8" applyFont="1" applyFill="1" applyBorder="1" applyAlignment="1">
      <alignment vertical="center" wrapText="1"/>
    </xf>
    <xf numFmtId="0" fontId="11" fillId="11" borderId="1" xfId="6" applyNumberFormat="1" applyFont="1" applyFill="1" applyBorder="1" applyAlignment="1" applyProtection="1">
      <alignment horizontal="center" vertical="center" wrapText="1"/>
      <protection locked="0"/>
    </xf>
    <xf numFmtId="0" fontId="9" fillId="3" borderId="1" xfId="6" applyNumberFormat="1" applyFont="1" applyFill="1" applyBorder="1" applyAlignment="1" applyProtection="1">
      <alignment horizontal="center" vertical="center" wrapText="1"/>
      <protection locked="0"/>
    </xf>
    <xf numFmtId="0" fontId="9" fillId="8" borderId="1" xfId="8" applyFont="1" applyFill="1" applyBorder="1" applyAlignment="1">
      <alignment horizontal="justify" vertical="center" wrapText="1"/>
    </xf>
    <xf numFmtId="164" fontId="11" fillId="3" borderId="1" xfId="2" applyFont="1" applyFill="1" applyBorder="1" applyAlignment="1" applyProtection="1">
      <alignment horizontal="center" vertical="center" wrapText="1"/>
      <protection locked="0"/>
    </xf>
    <xf numFmtId="164" fontId="9" fillId="3" borderId="1" xfId="2" applyNumberFormat="1" applyFont="1" applyFill="1" applyBorder="1" applyAlignment="1" applyProtection="1">
      <alignment horizontal="center" vertical="center" wrapText="1"/>
      <protection locked="0"/>
    </xf>
    <xf numFmtId="49" fontId="13" fillId="3" borderId="1" xfId="4" applyNumberFormat="1" applyFont="1" applyFill="1" applyBorder="1" applyAlignment="1" applyProtection="1">
      <alignment horizontal="left" vertical="center"/>
    </xf>
    <xf numFmtId="164" fontId="9" fillId="9" borderId="1" xfId="2" applyNumberFormat="1" applyFont="1" applyFill="1" applyBorder="1" applyAlignment="1" applyProtection="1">
      <alignment horizontal="center" vertical="center" wrapText="1"/>
      <protection locked="0"/>
    </xf>
    <xf numFmtId="164" fontId="11" fillId="9" borderId="1" xfId="2" applyFont="1" applyFill="1" applyBorder="1" applyAlignment="1" applyProtection="1">
      <alignment horizontal="center" vertical="center" wrapText="1"/>
      <protection locked="0"/>
    </xf>
    <xf numFmtId="0" fontId="9" fillId="9" borderId="1" xfId="8" applyFont="1" applyFill="1" applyBorder="1" applyAlignment="1">
      <alignment vertical="center" wrapText="1"/>
    </xf>
    <xf numFmtId="166" fontId="9" fillId="10" borderId="1" xfId="1" applyNumberFormat="1" applyFont="1" applyFill="1" applyBorder="1" applyAlignment="1" applyProtection="1">
      <alignment horizontal="center" vertical="center" wrapText="1"/>
      <protection locked="0"/>
    </xf>
    <xf numFmtId="166" fontId="9" fillId="8" borderId="1" xfId="1" applyNumberFormat="1" applyFont="1" applyFill="1" applyBorder="1" applyAlignment="1" applyProtection="1">
      <alignment horizontal="center" vertical="center" wrapText="1"/>
      <protection locked="0"/>
    </xf>
    <xf numFmtId="0" fontId="11" fillId="10" borderId="1" xfId="8" applyFont="1" applyFill="1" applyBorder="1" applyAlignment="1">
      <alignment vertical="center" wrapText="1"/>
    </xf>
    <xf numFmtId="0" fontId="11" fillId="8" borderId="1" xfId="8" applyFont="1" applyFill="1" applyBorder="1" applyAlignment="1">
      <alignment vertical="center" wrapText="1"/>
    </xf>
    <xf numFmtId="166" fontId="9" fillId="9" borderId="1" xfId="6" applyNumberFormat="1" applyFont="1" applyFill="1" applyBorder="1" applyAlignment="1" applyProtection="1">
      <alignment horizontal="center" vertical="center" wrapText="1"/>
      <protection locked="0"/>
    </xf>
    <xf numFmtId="49" fontId="13" fillId="9" borderId="1" xfId="4" applyNumberFormat="1" applyFont="1" applyFill="1" applyBorder="1" applyAlignment="1" applyProtection="1">
      <alignment horizontal="left" vertical="center"/>
    </xf>
    <xf numFmtId="0" fontId="9" fillId="8" borderId="1" xfId="8" applyNumberFormat="1" applyFont="1" applyFill="1" applyBorder="1" applyAlignment="1">
      <alignment vertical="center" wrapText="1"/>
    </xf>
    <xf numFmtId="17" fontId="11" fillId="8" borderId="1" xfId="8" applyNumberFormat="1" applyFont="1" applyFill="1" applyBorder="1" applyAlignment="1">
      <alignment horizontal="center" vertical="center" wrapText="1"/>
    </xf>
    <xf numFmtId="166" fontId="9" fillId="3" borderId="1" xfId="6" applyNumberFormat="1" applyFont="1" applyFill="1" applyBorder="1" applyAlignment="1" applyProtection="1">
      <alignment horizontal="center" vertical="center" wrapText="1"/>
      <protection locked="0"/>
    </xf>
    <xf numFmtId="0" fontId="7" fillId="8" borderId="1" xfId="8" applyFont="1" applyFill="1" applyBorder="1" applyAlignment="1">
      <alignment vertical="center" wrapText="1"/>
    </xf>
    <xf numFmtId="0" fontId="11" fillId="8" borderId="1" xfId="8" applyFont="1" applyFill="1" applyBorder="1" applyAlignment="1">
      <alignment horizontal="center" vertical="center" wrapText="1"/>
    </xf>
    <xf numFmtId="0" fontId="9" fillId="12" borderId="1" xfId="8" applyFont="1" applyFill="1" applyBorder="1" applyAlignment="1">
      <alignment horizontal="center" vertical="center"/>
    </xf>
    <xf numFmtId="166" fontId="9" fillId="11" borderId="1" xfId="6" applyNumberFormat="1" applyFont="1" applyFill="1" applyBorder="1" applyAlignment="1" applyProtection="1">
      <alignment horizontal="center" vertical="center" wrapText="1"/>
      <protection locked="0"/>
    </xf>
    <xf numFmtId="166" fontId="7" fillId="11" borderId="1" xfId="6" applyNumberFormat="1" applyFont="1" applyFill="1" applyBorder="1" applyAlignment="1" applyProtection="1">
      <alignment horizontal="center" vertical="center" wrapText="1"/>
      <protection locked="0"/>
    </xf>
    <xf numFmtId="49" fontId="13" fillId="11" borderId="1" xfId="4" applyNumberFormat="1" applyFont="1" applyFill="1" applyBorder="1" applyAlignment="1" applyProtection="1">
      <alignment horizontal="left" vertical="center"/>
    </xf>
    <xf numFmtId="14" fontId="14" fillId="12" borderId="1" xfId="8" applyNumberFormat="1" applyFont="1" applyFill="1" applyBorder="1" applyAlignment="1">
      <alignment horizontal="center" vertical="center" wrapText="1"/>
    </xf>
    <xf numFmtId="49" fontId="11" fillId="11" borderId="1" xfId="6" applyNumberFormat="1" applyFont="1" applyFill="1" applyBorder="1" applyAlignment="1">
      <alignment horizontal="center" vertical="center" wrapText="1"/>
    </xf>
    <xf numFmtId="0" fontId="11" fillId="11" borderId="1" xfId="0" applyNumberFormat="1" applyFont="1" applyFill="1" applyBorder="1" applyAlignment="1">
      <alignment horizontal="center" vertical="center" wrapText="1" readingOrder="1"/>
    </xf>
    <xf numFmtId="0" fontId="9" fillId="11" borderId="1" xfId="6" applyNumberFormat="1" applyFont="1" applyFill="1" applyBorder="1" applyAlignment="1" applyProtection="1">
      <alignment horizontal="center" vertical="center"/>
      <protection locked="0"/>
    </xf>
    <xf numFmtId="166" fontId="9" fillId="11" borderId="1" xfId="6" applyNumberFormat="1" applyFont="1" applyFill="1" applyBorder="1" applyAlignment="1">
      <alignment horizontal="center" vertical="center" wrapText="1"/>
    </xf>
    <xf numFmtId="0" fontId="9" fillId="8" borderId="1" xfId="8" applyFont="1" applyFill="1" applyBorder="1" applyAlignment="1">
      <alignment horizontal="center" vertical="center"/>
    </xf>
    <xf numFmtId="0" fontId="9" fillId="3" borderId="1" xfId="0" applyFont="1" applyFill="1" applyBorder="1" applyAlignment="1">
      <alignment horizontal="center" vertical="center" wrapText="1"/>
    </xf>
    <xf numFmtId="168" fontId="9" fillId="8" borderId="1" xfId="8" applyNumberFormat="1" applyFont="1" applyFill="1" applyBorder="1" applyAlignment="1">
      <alignment horizontal="center" vertical="center" wrapText="1"/>
    </xf>
    <xf numFmtId="0" fontId="9" fillId="3" borderId="1" xfId="6" applyNumberFormat="1" applyFont="1" applyFill="1" applyBorder="1" applyAlignment="1" applyProtection="1">
      <alignment horizontal="center" vertical="center"/>
      <protection locked="0"/>
    </xf>
    <xf numFmtId="166" fontId="7" fillId="3" borderId="1" xfId="6" applyNumberFormat="1" applyFont="1" applyFill="1" applyBorder="1" applyAlignment="1" applyProtection="1">
      <alignment horizontal="center" vertical="center" wrapText="1"/>
      <protection locked="0"/>
    </xf>
    <xf numFmtId="0" fontId="11" fillId="3" borderId="1" xfId="8" applyFont="1" applyFill="1" applyBorder="1" applyAlignment="1">
      <alignment vertical="center" wrapText="1"/>
    </xf>
    <xf numFmtId="0" fontId="9" fillId="3" borderId="1" xfId="8" applyFont="1" applyFill="1" applyBorder="1" applyAlignment="1">
      <alignment vertical="center" wrapText="1"/>
    </xf>
    <xf numFmtId="0" fontId="9" fillId="3" borderId="1" xfId="0" applyFont="1" applyFill="1" applyBorder="1" applyAlignment="1">
      <alignment vertical="center" wrapText="1"/>
    </xf>
    <xf numFmtId="166" fontId="11" fillId="3" borderId="1" xfId="6" applyNumberFormat="1" applyFont="1" applyFill="1" applyBorder="1" applyAlignment="1">
      <alignment horizontal="center" vertical="center" wrapText="1"/>
    </xf>
    <xf numFmtId="0" fontId="11" fillId="11" borderId="1" xfId="8" applyFont="1" applyFill="1" applyBorder="1" applyAlignment="1">
      <alignment horizontal="center" vertical="center" wrapText="1"/>
    </xf>
    <xf numFmtId="166" fontId="11" fillId="12" borderId="1" xfId="1" applyNumberFormat="1" applyFont="1" applyFill="1" applyBorder="1" applyAlignment="1">
      <alignment horizontal="center" vertical="center" wrapText="1"/>
    </xf>
    <xf numFmtId="0" fontId="0" fillId="0" borderId="0" xfId="0" applyFill="1" applyAlignment="1">
      <alignment vertical="center"/>
    </xf>
    <xf numFmtId="168" fontId="9" fillId="3" borderId="1" xfId="8" applyNumberFormat="1" applyFont="1" applyFill="1" applyBorder="1" applyAlignment="1">
      <alignment horizontal="center" vertical="center" wrapText="1"/>
    </xf>
    <xf numFmtId="164" fontId="11" fillId="3" borderId="1" xfId="2" applyNumberFormat="1" applyFont="1" applyFill="1" applyBorder="1" applyAlignment="1">
      <alignment horizontal="center" vertical="center" wrapText="1"/>
    </xf>
    <xf numFmtId="166" fontId="11" fillId="3" borderId="1" xfId="6" applyNumberFormat="1" applyFont="1" applyFill="1" applyBorder="1" applyAlignment="1" applyProtection="1">
      <alignment horizontal="center" vertical="center" wrapText="1"/>
      <protection locked="0"/>
    </xf>
    <xf numFmtId="14" fontId="14" fillId="10" borderId="1" xfId="8" applyNumberFormat="1" applyFont="1" applyFill="1" applyBorder="1" applyAlignment="1">
      <alignment horizontal="center" vertical="center" wrapText="1"/>
    </xf>
    <xf numFmtId="168" fontId="9" fillId="9" borderId="1" xfId="8" applyNumberFormat="1" applyFont="1" applyFill="1" applyBorder="1" applyAlignment="1">
      <alignment horizontal="center" vertical="center" wrapText="1"/>
    </xf>
    <xf numFmtId="164" fontId="16" fillId="9" borderId="1" xfId="2" applyFont="1" applyFill="1" applyBorder="1" applyAlignment="1" applyProtection="1">
      <alignment horizontal="center" vertical="center" wrapText="1"/>
      <protection locked="0"/>
    </xf>
    <xf numFmtId="166" fontId="11" fillId="9" borderId="1" xfId="6" applyNumberFormat="1" applyFont="1" applyFill="1" applyBorder="1" applyAlignment="1" applyProtection="1">
      <alignment horizontal="center" vertical="center" wrapText="1"/>
      <protection locked="0"/>
    </xf>
    <xf numFmtId="164" fontId="7" fillId="3" borderId="1" xfId="2" applyFont="1" applyFill="1" applyBorder="1" applyAlignment="1" applyProtection="1">
      <alignment horizontal="center" vertical="center" wrapText="1"/>
      <protection locked="0"/>
    </xf>
    <xf numFmtId="166" fontId="9" fillId="3" borderId="1" xfId="2" applyNumberFormat="1" applyFont="1" applyFill="1" applyBorder="1" applyAlignment="1" applyProtection="1">
      <alignment horizontal="center" vertical="center" wrapText="1"/>
      <protection locked="0"/>
    </xf>
    <xf numFmtId="49" fontId="9" fillId="3" borderId="1" xfId="6" applyNumberFormat="1" applyFont="1" applyFill="1" applyBorder="1" applyAlignment="1">
      <alignment horizontal="center" vertical="center" wrapText="1"/>
    </xf>
    <xf numFmtId="166" fontId="9" fillId="3" borderId="1" xfId="6" applyNumberFormat="1" applyFont="1" applyFill="1" applyBorder="1" applyAlignment="1">
      <alignment horizontal="center" vertical="center" wrapText="1"/>
    </xf>
    <xf numFmtId="0" fontId="9" fillId="9" borderId="1" xfId="0" applyNumberFormat="1" applyFont="1" applyFill="1" applyBorder="1" applyAlignment="1">
      <alignment horizontal="center" vertical="center" wrapText="1" readingOrder="1"/>
    </xf>
    <xf numFmtId="0" fontId="11" fillId="11" borderId="1" xfId="8" applyFont="1" applyFill="1" applyBorder="1" applyAlignment="1">
      <alignment vertical="center" wrapText="1"/>
    </xf>
    <xf numFmtId="0" fontId="9" fillId="9" borderId="1" xfId="0" applyFont="1" applyFill="1" applyBorder="1" applyAlignment="1">
      <alignment horizontal="center" vertical="center" wrapText="1"/>
    </xf>
    <xf numFmtId="0" fontId="9" fillId="9" borderId="1" xfId="0" applyFont="1" applyFill="1" applyBorder="1" applyAlignment="1">
      <alignment vertical="center" wrapText="1"/>
    </xf>
    <xf numFmtId="0" fontId="9" fillId="9" borderId="1" xfId="0" applyNumberFormat="1" applyFont="1" applyFill="1" applyBorder="1" applyAlignment="1">
      <alignment horizontal="left" vertical="center" wrapText="1" readingOrder="1"/>
    </xf>
    <xf numFmtId="164" fontId="9" fillId="9" borderId="1" xfId="2" applyFont="1" applyFill="1" applyBorder="1" applyAlignment="1">
      <alignment horizontal="center" vertical="center" wrapText="1"/>
    </xf>
    <xf numFmtId="0" fontId="9" fillId="9" borderId="1" xfId="0" applyFont="1" applyFill="1" applyBorder="1" applyAlignment="1">
      <alignment vertical="center"/>
    </xf>
    <xf numFmtId="165" fontId="9" fillId="9" borderId="1" xfId="0" applyNumberFormat="1" applyFont="1" applyFill="1" applyBorder="1" applyAlignment="1">
      <alignment vertical="center"/>
    </xf>
    <xf numFmtId="0" fontId="13" fillId="9" borderId="1" xfId="4" applyFont="1" applyFill="1" applyBorder="1" applyAlignment="1" applyProtection="1">
      <alignment vertical="center"/>
    </xf>
    <xf numFmtId="0" fontId="0" fillId="7" borderId="0" xfId="0" applyFill="1" applyBorder="1" applyAlignment="1">
      <alignment vertical="center"/>
    </xf>
    <xf numFmtId="0" fontId="9" fillId="11" borderId="1" xfId="0" applyFont="1" applyFill="1" applyBorder="1" applyAlignment="1">
      <alignment vertical="center" wrapText="1"/>
    </xf>
    <xf numFmtId="1" fontId="9" fillId="11" borderId="1" xfId="0" applyNumberFormat="1" applyFont="1" applyFill="1" applyBorder="1" applyAlignment="1">
      <alignment horizontal="center" vertical="center" wrapText="1" readingOrder="1"/>
    </xf>
    <xf numFmtId="0" fontId="9" fillId="11" borderId="1" xfId="0" applyNumberFormat="1" applyFont="1" applyFill="1" applyBorder="1" applyAlignment="1">
      <alignment horizontal="left" vertical="center" wrapText="1" readingOrder="1"/>
    </xf>
    <xf numFmtId="164" fontId="9" fillId="11" borderId="1" xfId="2" applyFont="1" applyFill="1" applyBorder="1" applyAlignment="1">
      <alignment horizontal="center" vertical="center" wrapText="1"/>
    </xf>
    <xf numFmtId="0" fontId="9" fillId="11" borderId="1" xfId="0" applyFont="1" applyFill="1" applyBorder="1" applyAlignment="1">
      <alignment vertical="center"/>
    </xf>
    <xf numFmtId="165" fontId="9" fillId="11" borderId="1" xfId="0" applyNumberFormat="1" applyFont="1" applyFill="1" applyBorder="1" applyAlignment="1">
      <alignment vertical="center"/>
    </xf>
    <xf numFmtId="0" fontId="13" fillId="11" borderId="1" xfId="4" applyFont="1" applyFill="1" applyBorder="1" applyAlignment="1" applyProtection="1">
      <alignment vertical="center"/>
    </xf>
    <xf numFmtId="0" fontId="11" fillId="11" borderId="1" xfId="0" applyFont="1" applyFill="1" applyBorder="1" applyAlignment="1">
      <alignment horizontal="center" vertical="center" wrapText="1"/>
    </xf>
    <xf numFmtId="164" fontId="9" fillId="11" borderId="1" xfId="2" applyFont="1" applyFill="1" applyBorder="1" applyAlignment="1">
      <alignment horizontal="center" vertical="center" wrapText="1" readingOrder="1"/>
    </xf>
    <xf numFmtId="165" fontId="9" fillId="11" borderId="1" xfId="1" applyFont="1" applyFill="1" applyBorder="1" applyAlignment="1">
      <alignment vertical="center"/>
    </xf>
    <xf numFmtId="0" fontId="9" fillId="11" borderId="1" xfId="0" applyFont="1" applyFill="1" applyBorder="1"/>
    <xf numFmtId="0" fontId="9" fillId="3" borderId="1" xfId="0" applyNumberFormat="1" applyFont="1" applyFill="1" applyBorder="1" applyAlignment="1">
      <alignment horizontal="left" vertical="center" wrapText="1" readingOrder="1"/>
    </xf>
    <xf numFmtId="164" fontId="9" fillId="3" borderId="1" xfId="2" applyFont="1" applyFill="1" applyBorder="1" applyAlignment="1">
      <alignment horizontal="center" vertical="center" wrapText="1"/>
    </xf>
    <xf numFmtId="0" fontId="9" fillId="3" borderId="1" xfId="0" applyFont="1" applyFill="1" applyBorder="1" applyAlignment="1">
      <alignment vertical="center"/>
    </xf>
    <xf numFmtId="165" fontId="9" fillId="3" borderId="1" xfId="0" applyNumberFormat="1" applyFont="1" applyFill="1" applyBorder="1" applyAlignment="1">
      <alignment vertical="center"/>
    </xf>
    <xf numFmtId="0" fontId="13" fillId="3" borderId="1" xfId="4" applyFont="1" applyFill="1" applyBorder="1" applyAlignment="1" applyProtection="1">
      <alignment vertical="center"/>
    </xf>
    <xf numFmtId="0" fontId="9" fillId="11" borderId="1"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64" fontId="11" fillId="3" borderId="1" xfId="2" applyFont="1" applyFill="1" applyBorder="1" applyAlignment="1">
      <alignment horizontal="center" vertical="center" wrapText="1"/>
    </xf>
    <xf numFmtId="0" fontId="9" fillId="9" borderId="1" xfId="0" applyFont="1" applyFill="1" applyBorder="1" applyAlignment="1" applyProtection="1">
      <alignment horizontal="center" vertical="center"/>
      <protection locked="0"/>
    </xf>
    <xf numFmtId="164" fontId="7" fillId="9" borderId="1" xfId="2" applyFont="1" applyFill="1" applyBorder="1" applyAlignment="1">
      <alignment horizontal="center" vertical="center" wrapText="1"/>
    </xf>
    <xf numFmtId="0" fontId="9" fillId="3" borderId="1" xfId="0" applyFont="1" applyFill="1" applyBorder="1" applyAlignment="1" applyProtection="1">
      <alignment horizontal="center" vertical="center"/>
      <protection locked="0"/>
    </xf>
    <xf numFmtId="164" fontId="16" fillId="3" borderId="1" xfId="2" applyFont="1" applyFill="1" applyBorder="1" applyAlignment="1">
      <alignment horizontal="center" vertical="center" wrapText="1"/>
    </xf>
    <xf numFmtId="0" fontId="9" fillId="12" borderId="1" xfId="1" applyNumberFormat="1" applyFont="1" applyFill="1" applyBorder="1" applyAlignment="1">
      <alignment horizontal="center" vertical="center" wrapText="1"/>
    </xf>
    <xf numFmtId="49" fontId="13" fillId="11" borderId="1" xfId="4" applyNumberFormat="1" applyFont="1" applyFill="1" applyBorder="1" applyAlignment="1" applyProtection="1">
      <alignment horizontal="center" vertical="center"/>
    </xf>
    <xf numFmtId="0" fontId="9" fillId="9" borderId="1" xfId="7" applyFont="1" applyFill="1" applyBorder="1" applyAlignment="1" applyProtection="1">
      <alignment horizontal="left" vertical="center" wrapText="1"/>
    </xf>
    <xf numFmtId="1" fontId="9" fillId="10" borderId="1" xfId="8" applyNumberFormat="1" applyFont="1" applyFill="1" applyBorder="1" applyAlignment="1">
      <alignment horizontal="center" vertical="center" wrapText="1"/>
    </xf>
    <xf numFmtId="0" fontId="9" fillId="9" borderId="1" xfId="3" applyFont="1" applyFill="1" applyBorder="1" applyAlignment="1">
      <alignment vertical="center"/>
    </xf>
    <xf numFmtId="49" fontId="13" fillId="9" borderId="1" xfId="4" applyNumberFormat="1" applyFont="1" applyFill="1" applyBorder="1" applyAlignment="1" applyProtection="1">
      <alignment horizontal="center" vertical="center"/>
    </xf>
    <xf numFmtId="17" fontId="9" fillId="8" borderId="1" xfId="8" applyNumberFormat="1" applyFont="1" applyFill="1" applyBorder="1" applyAlignment="1" applyProtection="1">
      <alignment horizontal="center" vertical="center" wrapText="1"/>
    </xf>
    <xf numFmtId="164" fontId="15" fillId="9" borderId="1" xfId="2" applyFont="1" applyFill="1" applyBorder="1" applyAlignment="1" applyProtection="1">
      <alignment horizontal="center" vertical="center" wrapText="1"/>
      <protection locked="0"/>
    </xf>
    <xf numFmtId="17" fontId="9" fillId="12" borderId="1" xfId="8" applyNumberFormat="1" applyFont="1" applyFill="1" applyBorder="1" applyAlignment="1" applyProtection="1">
      <alignment horizontal="center" vertical="center" wrapText="1"/>
    </xf>
    <xf numFmtId="0" fontId="9" fillId="9" borderId="1" xfId="0" applyNumberFormat="1" applyFont="1" applyFill="1" applyBorder="1" applyAlignment="1">
      <alignment horizontal="center" vertical="center"/>
    </xf>
    <xf numFmtId="49" fontId="9" fillId="9" borderId="1" xfId="6" applyFont="1" applyFill="1" applyBorder="1" applyAlignment="1" applyProtection="1">
      <alignment horizontal="left" vertical="center" wrapText="1"/>
      <protection locked="0"/>
    </xf>
    <xf numFmtId="0" fontId="9" fillId="3" borderId="1" xfId="0" applyNumberFormat="1" applyFont="1" applyFill="1" applyBorder="1" applyAlignment="1">
      <alignment horizontal="center" vertical="center"/>
    </xf>
    <xf numFmtId="0" fontId="9" fillId="11" borderId="1" xfId="0" applyNumberFormat="1" applyFont="1" applyFill="1" applyBorder="1" applyAlignment="1">
      <alignment horizontal="center" vertical="center"/>
    </xf>
    <xf numFmtId="0" fontId="9" fillId="12" borderId="1" xfId="9" applyFont="1" applyFill="1" applyBorder="1" applyAlignment="1">
      <alignment horizontal="center" vertical="center" wrapText="1"/>
    </xf>
    <xf numFmtId="166" fontId="9" fillId="12" borderId="1" xfId="1" applyNumberFormat="1" applyFont="1" applyFill="1" applyBorder="1" applyAlignment="1" applyProtection="1">
      <alignment horizontal="center" vertical="center" wrapText="1"/>
      <protection locked="0"/>
    </xf>
    <xf numFmtId="0" fontId="9" fillId="8" borderId="1" xfId="9" applyFont="1" applyFill="1" applyBorder="1" applyAlignment="1">
      <alignment horizontal="center" vertical="center" wrapText="1"/>
    </xf>
    <xf numFmtId="14" fontId="9" fillId="10" borderId="1" xfId="8" applyNumberFormat="1" applyFont="1" applyFill="1" applyBorder="1" applyAlignment="1">
      <alignment horizontal="center" vertical="center" wrapText="1"/>
    </xf>
    <xf numFmtId="0" fontId="9" fillId="8" borderId="1" xfId="9" applyFont="1" applyFill="1" applyBorder="1" applyAlignment="1">
      <alignment vertical="center" wrapText="1"/>
    </xf>
    <xf numFmtId="0" fontId="9" fillId="8" borderId="1" xfId="9" applyFont="1" applyFill="1" applyBorder="1" applyAlignment="1">
      <alignment horizontal="left" vertical="center" wrapText="1"/>
    </xf>
    <xf numFmtId="0" fontId="9" fillId="3" borderId="1" xfId="9" applyFont="1" applyFill="1" applyBorder="1" applyAlignment="1">
      <alignment horizontal="center" vertical="center" wrapText="1"/>
    </xf>
    <xf numFmtId="49" fontId="13" fillId="3" borderId="1" xfId="10" applyNumberFormat="1" applyFont="1" applyFill="1" applyBorder="1" applyAlignment="1" applyProtection="1">
      <alignment horizontal="left" vertical="center"/>
    </xf>
    <xf numFmtId="0" fontId="9" fillId="3" borderId="1" xfId="9" applyFont="1" applyFill="1" applyBorder="1" applyAlignment="1">
      <alignment horizontal="center" vertical="center"/>
    </xf>
    <xf numFmtId="49" fontId="17" fillId="0" borderId="1" xfId="6" applyFont="1" applyFill="1" applyBorder="1" applyAlignment="1" applyProtection="1">
      <alignment horizontal="center" vertical="center" wrapText="1"/>
      <protection locked="0"/>
    </xf>
    <xf numFmtId="0" fontId="17" fillId="0" borderId="1" xfId="8" applyFont="1" applyFill="1" applyBorder="1" applyAlignment="1">
      <alignment horizontal="center" vertical="center" wrapText="1"/>
    </xf>
    <xf numFmtId="0" fontId="17" fillId="0" borderId="1" xfId="8" applyFont="1" applyFill="1" applyBorder="1" applyAlignment="1">
      <alignment vertical="center" wrapText="1"/>
    </xf>
    <xf numFmtId="17" fontId="17" fillId="0" borderId="1" xfId="8" applyNumberFormat="1" applyFont="1" applyFill="1" applyBorder="1" applyAlignment="1">
      <alignment horizontal="center" vertical="center" wrapText="1"/>
    </xf>
    <xf numFmtId="49" fontId="17" fillId="0" borderId="1" xfId="6" applyFont="1" applyFill="1" applyBorder="1" applyAlignment="1" applyProtection="1">
      <alignment horizontal="center" vertical="center"/>
      <protection locked="0"/>
    </xf>
    <xf numFmtId="166" fontId="17" fillId="0" borderId="1" xfId="1" applyNumberFormat="1" applyFont="1" applyFill="1" applyBorder="1" applyAlignment="1">
      <alignment horizontal="center" vertical="center" wrapText="1"/>
    </xf>
    <xf numFmtId="0" fontId="17" fillId="8" borderId="1" xfId="8" applyFont="1" applyFill="1" applyBorder="1" applyAlignment="1">
      <alignment horizontal="center" vertical="center" wrapText="1"/>
    </xf>
    <xf numFmtId="166" fontId="17" fillId="0" borderId="1" xfId="6" applyNumberFormat="1" applyFont="1" applyFill="1" applyBorder="1" applyAlignment="1" applyProtection="1">
      <alignment horizontal="right" vertical="center" wrapText="1"/>
      <protection locked="0"/>
    </xf>
    <xf numFmtId="166" fontId="17" fillId="0" borderId="1" xfId="6" applyNumberFormat="1" applyFont="1" applyFill="1" applyBorder="1" applyAlignment="1" applyProtection="1">
      <alignment horizontal="center" vertical="center" wrapText="1"/>
      <protection locked="0"/>
    </xf>
    <xf numFmtId="0" fontId="9" fillId="10" borderId="1" xfId="9" applyFont="1" applyFill="1" applyBorder="1" applyAlignment="1">
      <alignment horizontal="center" vertical="center" wrapText="1"/>
    </xf>
    <xf numFmtId="0" fontId="9" fillId="10" borderId="1" xfId="9" applyFont="1" applyFill="1" applyBorder="1" applyAlignment="1">
      <alignment vertical="center" wrapText="1"/>
    </xf>
    <xf numFmtId="0" fontId="9" fillId="10" borderId="1" xfId="9" applyFont="1" applyFill="1" applyBorder="1" applyAlignment="1">
      <alignment horizontal="left" vertical="center" wrapText="1"/>
    </xf>
    <xf numFmtId="0" fontId="9" fillId="9" borderId="1" xfId="9" applyFont="1" applyFill="1" applyBorder="1" applyAlignment="1">
      <alignment horizontal="center" vertical="center"/>
    </xf>
    <xf numFmtId="49" fontId="13" fillId="9" borderId="1" xfId="10" applyNumberFormat="1" applyFont="1" applyFill="1" applyBorder="1" applyAlignment="1" applyProtection="1">
      <alignment horizontal="left" vertical="center"/>
    </xf>
    <xf numFmtId="17" fontId="9" fillId="8" borderId="1" xfId="9" applyNumberFormat="1" applyFont="1" applyFill="1" applyBorder="1" applyAlignment="1">
      <alignment horizontal="center" vertical="center" wrapText="1"/>
    </xf>
    <xf numFmtId="171" fontId="9" fillId="3" borderId="1" xfId="6" applyNumberFormat="1" applyFont="1" applyFill="1" applyBorder="1" applyAlignment="1" applyProtection="1">
      <alignment horizontal="center" vertical="center" wrapText="1"/>
      <protection locked="0"/>
    </xf>
    <xf numFmtId="0" fontId="9" fillId="3" borderId="1" xfId="9" applyFont="1" applyFill="1" applyBorder="1" applyAlignment="1">
      <alignment vertical="center" wrapText="1"/>
    </xf>
    <xf numFmtId="0" fontId="9" fillId="3" borderId="1" xfId="9" applyFont="1" applyFill="1" applyBorder="1" applyAlignment="1">
      <alignment horizontal="left" vertical="center" wrapText="1"/>
    </xf>
    <xf numFmtId="0" fontId="9" fillId="9" borderId="1" xfId="9" applyFont="1" applyFill="1" applyBorder="1" applyAlignment="1">
      <alignment vertical="center" wrapText="1"/>
    </xf>
    <xf numFmtId="17" fontId="9" fillId="10" borderId="1" xfId="9" applyNumberFormat="1" applyFont="1" applyFill="1" applyBorder="1" applyAlignment="1">
      <alignment horizontal="center" vertical="center" wrapText="1"/>
    </xf>
    <xf numFmtId="171" fontId="9" fillId="9" borderId="1" xfId="6" applyNumberFormat="1" applyFont="1" applyFill="1" applyBorder="1" applyAlignment="1" applyProtection="1">
      <alignment horizontal="center" vertical="center" wrapText="1"/>
      <protection locked="0"/>
    </xf>
    <xf numFmtId="164" fontId="18" fillId="3" borderId="1" xfId="2" applyFont="1" applyFill="1" applyBorder="1" applyAlignment="1" applyProtection="1">
      <alignment horizontal="center" vertical="center" wrapText="1"/>
      <protection locked="0"/>
    </xf>
    <xf numFmtId="0" fontId="9" fillId="12" borderId="1" xfId="9" applyFont="1" applyFill="1" applyBorder="1" applyAlignment="1">
      <alignment vertical="center" wrapText="1"/>
    </xf>
    <xf numFmtId="17" fontId="9" fillId="11" borderId="1" xfId="9" applyNumberFormat="1" applyFont="1" applyFill="1" applyBorder="1" applyAlignment="1">
      <alignment horizontal="center" vertical="center" wrapText="1"/>
    </xf>
    <xf numFmtId="3" fontId="9" fillId="11" borderId="1" xfId="6" applyNumberFormat="1" applyFont="1" applyFill="1" applyBorder="1" applyAlignment="1" applyProtection="1">
      <alignment horizontal="center" vertical="center" wrapText="1"/>
      <protection locked="0"/>
    </xf>
    <xf numFmtId="0" fontId="9" fillId="12" borderId="1" xfId="9" applyFont="1" applyFill="1" applyBorder="1" applyAlignment="1">
      <alignment horizontal="left" vertical="center" wrapText="1"/>
    </xf>
    <xf numFmtId="49" fontId="13" fillId="11" borderId="1" xfId="10" applyNumberFormat="1" applyFont="1" applyFill="1" applyBorder="1" applyAlignment="1" applyProtection="1">
      <alignment horizontal="left" vertical="center"/>
    </xf>
    <xf numFmtId="166" fontId="9" fillId="12" borderId="1" xfId="11" applyNumberFormat="1" applyFont="1" applyFill="1" applyBorder="1" applyAlignment="1">
      <alignment horizontal="center" vertical="center" wrapText="1"/>
    </xf>
    <xf numFmtId="166" fontId="11" fillId="11" borderId="1" xfId="6" applyNumberFormat="1" applyFont="1" applyFill="1" applyBorder="1" applyAlignment="1" applyProtection="1">
      <alignment horizontal="center" vertical="center" wrapText="1"/>
      <protection locked="0"/>
    </xf>
    <xf numFmtId="164" fontId="11" fillId="11" borderId="1" xfId="2" applyFont="1" applyFill="1" applyBorder="1" applyAlignment="1">
      <alignment horizontal="center" vertical="center" wrapText="1"/>
    </xf>
    <xf numFmtId="164" fontId="11" fillId="11" borderId="1" xfId="2" applyNumberFormat="1" applyFont="1" applyFill="1" applyBorder="1" applyAlignment="1" applyProtection="1">
      <alignment horizontal="center" vertical="center" wrapText="1"/>
      <protection locked="0"/>
    </xf>
    <xf numFmtId="17" fontId="9" fillId="3" borderId="1" xfId="9" applyNumberFormat="1" applyFont="1" applyFill="1" applyBorder="1" applyAlignment="1">
      <alignment horizontal="center" vertical="center" wrapText="1"/>
    </xf>
    <xf numFmtId="166" fontId="9" fillId="8" borderId="1" xfId="11" applyNumberFormat="1" applyFont="1" applyFill="1" applyBorder="1" applyAlignment="1">
      <alignment horizontal="center" vertical="center" wrapText="1"/>
    </xf>
    <xf numFmtId="0" fontId="9" fillId="11" borderId="1" xfId="9" applyFont="1" applyFill="1" applyBorder="1" applyAlignment="1">
      <alignment horizontal="center" vertical="center" wrapText="1"/>
    </xf>
    <xf numFmtId="168" fontId="9" fillId="12" borderId="1" xfId="8" applyNumberFormat="1" applyFont="1" applyFill="1" applyBorder="1" applyAlignment="1">
      <alignment horizontal="center" vertical="center" wrapText="1"/>
    </xf>
    <xf numFmtId="164" fontId="9" fillId="11" borderId="1" xfId="2" applyFont="1" applyFill="1" applyBorder="1" applyAlignment="1">
      <alignment horizontal="center" vertical="center"/>
    </xf>
    <xf numFmtId="0" fontId="9" fillId="11" borderId="1" xfId="9" applyFont="1" applyFill="1" applyBorder="1" applyAlignment="1">
      <alignment horizontal="center" vertical="center"/>
    </xf>
    <xf numFmtId="167" fontId="9" fillId="11" borderId="1" xfId="2" applyNumberFormat="1" applyFont="1" applyFill="1" applyBorder="1" applyAlignment="1">
      <alignment horizontal="center" vertical="center" wrapText="1"/>
    </xf>
    <xf numFmtId="167" fontId="9" fillId="11" borderId="1" xfId="2" applyNumberFormat="1" applyFont="1" applyFill="1" applyBorder="1" applyAlignment="1" applyProtection="1">
      <alignment horizontal="center" vertical="center" wrapText="1"/>
      <protection locked="0"/>
    </xf>
    <xf numFmtId="0" fontId="9" fillId="11" borderId="1" xfId="6" applyNumberFormat="1" applyFont="1" applyFill="1" applyBorder="1" applyAlignment="1" applyProtection="1">
      <alignment horizontal="centerContinuous" vertical="center"/>
      <protection locked="0"/>
    </xf>
    <xf numFmtId="3" fontId="11" fillId="11" borderId="1" xfId="6" applyNumberFormat="1" applyFont="1" applyFill="1" applyBorder="1" applyAlignment="1" applyProtection="1">
      <alignment horizontal="right" vertical="center" wrapText="1"/>
      <protection locked="0"/>
    </xf>
    <xf numFmtId="3" fontId="9" fillId="11" borderId="1" xfId="6" applyNumberFormat="1" applyFont="1" applyFill="1" applyBorder="1" applyAlignment="1" applyProtection="1">
      <alignment horizontal="right" vertical="center" wrapText="1"/>
      <protection locked="0"/>
    </xf>
    <xf numFmtId="164" fontId="9" fillId="3" borderId="1" xfId="2" applyFont="1" applyFill="1" applyBorder="1" applyAlignment="1">
      <alignment horizontal="center" vertical="center"/>
    </xf>
    <xf numFmtId="172" fontId="10" fillId="12" borderId="1" xfId="8" applyNumberFormat="1" applyFont="1" applyFill="1" applyBorder="1" applyAlignment="1">
      <alignment horizontal="center" vertical="center" wrapText="1"/>
    </xf>
    <xf numFmtId="49" fontId="9" fillId="9" borderId="1" xfId="6" applyFont="1" applyFill="1" applyBorder="1" applyAlignment="1" applyProtection="1">
      <alignment horizontal="center" vertical="center"/>
      <protection locked="0"/>
    </xf>
    <xf numFmtId="49" fontId="9" fillId="11" borderId="1" xfId="6" applyFont="1" applyFill="1" applyBorder="1" applyAlignment="1" applyProtection="1">
      <alignment horizontal="center" vertical="center"/>
      <protection locked="0"/>
    </xf>
    <xf numFmtId="49" fontId="11" fillId="11" borderId="1" xfId="6" applyFont="1" applyFill="1" applyBorder="1" applyAlignment="1" applyProtection="1">
      <alignment horizontal="center" vertical="center"/>
      <protection locked="0"/>
    </xf>
    <xf numFmtId="49" fontId="11" fillId="9" borderId="1" xfId="6" applyFont="1" applyFill="1" applyBorder="1" applyAlignment="1" applyProtection="1">
      <alignment horizontal="center" vertical="center" wrapText="1"/>
      <protection locked="0"/>
    </xf>
    <xf numFmtId="49" fontId="9" fillId="11" borderId="5" xfId="6" applyFont="1" applyFill="1" applyBorder="1" applyAlignment="1" applyProtection="1">
      <alignment horizontal="center" vertical="center" wrapText="1"/>
      <protection locked="0"/>
    </xf>
    <xf numFmtId="0" fontId="9" fillId="12" borderId="6" xfId="8" applyFont="1" applyFill="1" applyBorder="1" applyAlignment="1">
      <alignment horizontal="center" wrapText="1"/>
    </xf>
    <xf numFmtId="0" fontId="9" fillId="12" borderId="6" xfId="8" applyFont="1" applyFill="1" applyBorder="1" applyAlignment="1">
      <alignment vertical="center" wrapText="1"/>
    </xf>
    <xf numFmtId="14" fontId="10" fillId="12" borderId="6" xfId="8" applyNumberFormat="1" applyFont="1" applyFill="1" applyBorder="1" applyAlignment="1">
      <alignment horizontal="center" vertical="center" wrapText="1"/>
    </xf>
    <xf numFmtId="49" fontId="9" fillId="11" borderId="6" xfId="6" applyFont="1" applyFill="1" applyBorder="1" applyAlignment="1" applyProtection="1">
      <alignment horizontal="center" vertical="center" wrapText="1"/>
      <protection locked="0"/>
    </xf>
    <xf numFmtId="0" fontId="9" fillId="11" borderId="6" xfId="0" applyNumberFormat="1" applyFont="1" applyFill="1" applyBorder="1" applyAlignment="1">
      <alignment horizontal="center" vertical="center" wrapText="1" readingOrder="1"/>
    </xf>
    <xf numFmtId="0" fontId="9" fillId="11" borderId="6" xfId="6" applyNumberFormat="1" applyFont="1" applyFill="1" applyBorder="1" applyAlignment="1" applyProtection="1">
      <alignment horizontal="center" vertical="center" wrapText="1"/>
      <protection locked="0"/>
    </xf>
    <xf numFmtId="0" fontId="9" fillId="12" borderId="6" xfId="8" applyFont="1" applyFill="1" applyBorder="1" applyAlignment="1">
      <alignment horizontal="center" vertical="center" wrapText="1"/>
    </xf>
    <xf numFmtId="166" fontId="9" fillId="11" borderId="6" xfId="6" applyNumberFormat="1" applyFont="1" applyFill="1" applyBorder="1" applyAlignment="1" applyProtection="1">
      <alignment horizontal="center" vertical="center" wrapText="1"/>
      <protection locked="0"/>
    </xf>
    <xf numFmtId="164" fontId="9" fillId="11" borderId="6" xfId="2" applyFont="1" applyFill="1" applyBorder="1" applyAlignment="1" applyProtection="1">
      <alignment horizontal="center" vertical="center" wrapText="1"/>
      <protection locked="0"/>
    </xf>
    <xf numFmtId="1" fontId="9" fillId="11" borderId="6" xfId="6" applyNumberFormat="1" applyFont="1" applyFill="1" applyBorder="1" applyAlignment="1" applyProtection="1">
      <alignment horizontal="center" vertical="center" wrapText="1"/>
      <protection locked="0"/>
    </xf>
    <xf numFmtId="49" fontId="13" fillId="11" borderId="6" xfId="4" applyNumberFormat="1" applyFont="1" applyFill="1" applyBorder="1" applyAlignment="1" applyProtection="1">
      <alignment horizontal="left" vertical="center"/>
    </xf>
    <xf numFmtId="49" fontId="9" fillId="3" borderId="5" xfId="6" applyFont="1" applyFill="1" applyBorder="1" applyAlignment="1" applyProtection="1">
      <alignment horizontal="center" vertical="center" wrapText="1"/>
      <protection locked="0"/>
    </xf>
    <xf numFmtId="0" fontId="9" fillId="3" borderId="6" xfId="8" applyFont="1" applyFill="1" applyBorder="1" applyAlignment="1">
      <alignment horizontal="center" vertical="center" wrapText="1"/>
    </xf>
    <xf numFmtId="0" fontId="9" fillId="8" borderId="6" xfId="8" applyFont="1" applyFill="1" applyBorder="1" applyAlignment="1">
      <alignment vertical="center" wrapText="1"/>
    </xf>
    <xf numFmtId="14" fontId="9" fillId="8" borderId="6" xfId="8" applyNumberFormat="1" applyFont="1" applyFill="1" applyBorder="1" applyAlignment="1">
      <alignment horizontal="center" vertical="center" wrapText="1"/>
    </xf>
    <xf numFmtId="17" fontId="9" fillId="8" borderId="6" xfId="8" applyNumberFormat="1" applyFont="1" applyFill="1" applyBorder="1" applyAlignment="1">
      <alignment horizontal="center" vertical="center" wrapText="1"/>
    </xf>
    <xf numFmtId="0" fontId="9" fillId="3" borderId="6" xfId="0" applyFont="1" applyFill="1" applyBorder="1" applyAlignment="1" applyProtection="1">
      <alignment horizontal="center" vertical="center"/>
      <protection locked="0"/>
    </xf>
    <xf numFmtId="166" fontId="9" fillId="8" borderId="6" xfId="1" applyNumberFormat="1" applyFont="1" applyFill="1" applyBorder="1" applyAlignment="1" applyProtection="1">
      <alignment horizontal="center" vertical="center" wrapText="1"/>
      <protection locked="0"/>
    </xf>
    <xf numFmtId="49" fontId="9" fillId="3" borderId="6" xfId="6" applyFont="1" applyFill="1" applyBorder="1" applyAlignment="1" applyProtection="1">
      <alignment horizontal="center" vertical="center" wrapText="1"/>
      <protection locked="0"/>
    </xf>
    <xf numFmtId="0" fontId="9" fillId="8" borderId="6" xfId="8" applyFont="1" applyFill="1" applyBorder="1" applyAlignment="1">
      <alignment horizontal="center" vertical="center" wrapText="1"/>
    </xf>
    <xf numFmtId="164" fontId="9" fillId="3" borderId="6" xfId="2" applyFont="1" applyFill="1" applyBorder="1" applyAlignment="1" applyProtection="1">
      <alignment horizontal="center" vertical="center" wrapText="1"/>
      <protection locked="0"/>
    </xf>
    <xf numFmtId="164" fontId="9" fillId="3" borderId="6" xfId="2" applyNumberFormat="1" applyFont="1" applyFill="1" applyBorder="1" applyAlignment="1" applyProtection="1">
      <alignment horizontal="center" vertical="center" wrapText="1"/>
      <protection locked="0"/>
    </xf>
    <xf numFmtId="1" fontId="9" fillId="3" borderId="6" xfId="6" applyNumberFormat="1" applyFont="1" applyFill="1" applyBorder="1" applyAlignment="1" applyProtection="1">
      <alignment horizontal="center" vertical="center" wrapText="1"/>
      <protection locked="0"/>
    </xf>
    <xf numFmtId="49" fontId="13" fillId="3" borderId="6" xfId="4" applyNumberFormat="1" applyFont="1" applyFill="1" applyBorder="1" applyAlignment="1" applyProtection="1">
      <alignment horizontal="left" vertical="center"/>
    </xf>
    <xf numFmtId="0" fontId="3" fillId="3" borderId="0" xfId="0" applyFont="1" applyFill="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164" fontId="3" fillId="0" borderId="0" xfId="2" applyFont="1" applyAlignment="1" applyProtection="1">
      <alignment vertical="center"/>
      <protection locked="0"/>
    </xf>
    <xf numFmtId="164" fontId="0" fillId="0" borderId="0" xfId="0" applyNumberFormat="1" applyFont="1" applyAlignment="1" applyProtection="1">
      <alignment vertical="center"/>
      <protection locked="0"/>
    </xf>
    <xf numFmtId="166" fontId="3" fillId="0" borderId="0" xfId="0" applyNumberFormat="1" applyFont="1" applyAlignment="1" applyProtection="1">
      <alignment vertical="center"/>
      <protection locked="0"/>
    </xf>
    <xf numFmtId="166" fontId="3" fillId="0" borderId="0" xfId="0" applyNumberFormat="1" applyFont="1" applyAlignment="1" applyProtection="1">
      <alignment horizontal="center" vertical="center"/>
      <protection locked="0"/>
    </xf>
    <xf numFmtId="0" fontId="3" fillId="3" borderId="0" xfId="0" applyFont="1" applyFill="1" applyAlignment="1" applyProtection="1">
      <alignment vertical="center"/>
    </xf>
    <xf numFmtId="0" fontId="0" fillId="0" borderId="0" xfId="0" applyFont="1" applyAlignment="1" applyProtection="1">
      <alignment vertical="center" wrapText="1"/>
      <protection locked="0"/>
    </xf>
    <xf numFmtId="0" fontId="19" fillId="0" borderId="0" xfId="0" applyFont="1" applyAlignment="1">
      <alignment horizontal="left" vertical="center" indent="1"/>
    </xf>
    <xf numFmtId="164" fontId="3" fillId="0" borderId="0" xfId="0" applyNumberFormat="1" applyFont="1" applyAlignment="1" applyProtection="1">
      <alignment horizontal="center" vertical="center"/>
      <protection locked="0"/>
    </xf>
    <xf numFmtId="164" fontId="3" fillId="0" borderId="0" xfId="0" applyNumberFormat="1" applyFont="1" applyAlignment="1" applyProtection="1">
      <alignment vertical="center"/>
      <protection locked="0"/>
    </xf>
    <xf numFmtId="165" fontId="10" fillId="13" borderId="7" xfId="1" applyFont="1" applyFill="1" applyBorder="1"/>
    <xf numFmtId="165" fontId="3" fillId="0" borderId="0" xfId="0" applyNumberFormat="1"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64" fontId="0" fillId="0" borderId="0" xfId="2" applyFont="1" applyAlignment="1" applyProtection="1">
      <alignment vertical="center"/>
      <protection locked="0"/>
    </xf>
  </cellXfs>
  <cellStyles count="12">
    <cellStyle name="BodyStyle" xfId="6" xr:uid="{C6A656CA-52E1-488F-A196-F613049FAD6A}"/>
    <cellStyle name="Bueno" xfId="3" builtinId="26"/>
    <cellStyle name="HeaderStyle" xfId="7" xr:uid="{243915A8-F666-4BE3-8C3B-8270E217F990}"/>
    <cellStyle name="Hipervínculo" xfId="4" builtinId="8"/>
    <cellStyle name="Hipervínculo 2" xfId="10" xr:uid="{7BC8FB8B-D20E-4495-A518-10DD7ECDB037}"/>
    <cellStyle name="MainTitle" xfId="5" xr:uid="{A2462B88-C6CB-441C-894E-D3DABC00D90F}"/>
    <cellStyle name="Millares [0]" xfId="1" builtinId="6"/>
    <cellStyle name="Millares [0] 3" xfId="11" xr:uid="{F65E1DF7-0D01-4135-BB39-6975AABA3DF6}"/>
    <cellStyle name="Moneda [0]" xfId="2" builtinId="7"/>
    <cellStyle name="Normal" xfId="0" builtinId="0"/>
    <cellStyle name="Normal 2" xfId="8" xr:uid="{5BB11FE8-F8A0-4A3D-8B55-89F442CB8532}"/>
    <cellStyle name="Normal 2 2" xfId="9" xr:uid="{8561A73B-BF65-4666-ABAD-90DD46BF6345}"/>
  </cellStyles>
  <dxfs count="29">
    <dxf>
      <font>
        <b val="0"/>
        <i val="0"/>
        <strike val="0"/>
        <condense val="0"/>
        <extend val="0"/>
        <outline val="0"/>
        <shadow val="0"/>
        <u/>
        <vertAlign val="baseline"/>
        <sz val="11"/>
        <color theme="1"/>
        <name val="Arial"/>
        <scheme val="none"/>
      </font>
      <numFmt numFmtId="30" formatCode="@"/>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numFmt numFmtId="166" formatCode="&quot;$&quot;\ #,##0"/>
      <fill>
        <patternFill patternType="solid">
          <fgColor rgb="FF000000"/>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1"/>
        <color theme="1"/>
        <name val="Arial"/>
        <scheme val="none"/>
      </font>
      <fill>
        <patternFill>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9" formatCode="dd/mm/yyyy"/>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VER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VER_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onardovillamil\AppData\Local\Microsoft\Windows\INetCache\Content.Outlook\HMCHKIQZ\Formulario%20Necesidades%20-PAA%202020%20OAC%2029-nov-2019%20ALCAN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RN/2019/PLAN%20DE%20ADQUISICIONES/Elaboracion%20PAA/PAA%202020/Necesidades%20Areas%202020/Copia%20de%201%20PAA%20DPR%20Actualizado%20a%200301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Gestion%20Oficina%20TI\Jefatura%20OTI\PRESUPUESTO\PRESUPUESTO%20OTI%202019\Anteproyecto%20PAA\Formulario%20Necesidades%20-PAA%202020%20(1811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Planeac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financiera.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arolinacastillo\Documents\DPR%202020\Plan%20Anual%20de%20Adquisiciones%202020\201119%20Consolidado%20PAA%202020%20DPR%20V1_18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quisiciones 2020 "/>
      <sheetName val="Analisis tiempo"/>
      <sheetName val="HOJA DE CONTROL"/>
      <sheetName val="Adquisiciones 2020"/>
      <sheetName val="Tabla dinamica PAA ARN 2019"/>
      <sheetName val="Hoja1"/>
      <sheetName val="Listas"/>
      <sheetName val="Plan de Adquisiciones ARN 2020 "/>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Analisis tiempo"/>
      <sheetName val="Adquisiciones 2020"/>
      <sheetName val="Tabla dinamica PAA ARN 2019"/>
      <sheetName val="Hoja1"/>
      <sheetName val="List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19"/>
      <sheetName val="List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ucia"/>
      <sheetName val="Token"/>
      <sheetName val="PAA 2020"/>
      <sheetName val="Listas"/>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935DD95-365F-4CD3-84D5-DCF943BA6621}" name="Tabla1" displayName="Tabla1" ref="A5:X186" totalsRowShown="0" headerRowDxfId="28" dataDxfId="27" headerRowBorderDxfId="25" tableBorderDxfId="26" totalsRowBorderDxfId="24" headerRowCellStyle="BodyStyle" dataCellStyle="BodyStyle">
  <autoFilter ref="A5:X186" xr:uid="{2034EC0D-FD8C-4126-9C63-8449CE21BD15}"/>
  <tableColumns count="24">
    <tableColumn id="1" xr3:uid="{44AB94A4-5F47-46AB-8DB3-61F062C4C7C3}" name="Dependencia Responsable (Selección la que corresponde)" dataDxfId="23" dataCellStyle="BodyStyle"/>
    <tableColumn id="2" xr3:uid="{F815437E-62DE-4E29-A9EA-7E1290D6D000}" name="Código UNSPSC (cada código separado por ;)" dataDxfId="22" dataCellStyle="Normal 2"/>
    <tableColumn id="3" xr3:uid="{3050B1AC-BFF4-4F13-B66D-8A6CC45E2386}" name="Descripción (bien o servicio requerido a contratar)" dataDxfId="21" dataCellStyle="Normal 2"/>
    <tableColumn id="4" xr3:uid="{6E030EE8-3FA6-4099-B798-BE845643F3F8}" name="Fecha estimada de radicación en el GGC para iniciar Estudio de Mercado" dataDxfId="20" dataCellStyle="Normal 2"/>
    <tableColumn id="5" xr3:uid="{6DE935AD-093D-487A-A60F-8B6C282D795D}" name="Fecha (mes) estimada de inicio de proceso de selección (Publicación Proyecto Pliego)" dataDxfId="19" dataCellStyle="Normal 2"/>
    <tableColumn id="6" xr3:uid="{8E054962-B1DF-4319-9C15-5CDCEB5EE0BA}" name="Fecha (mes)  estimada de presentación de ofertas (Cierre del proceso)" dataDxfId="18" dataCellStyle="Normal 2"/>
    <tableColumn id="7" xr3:uid="{4ED1D708-1CA2-4664-AE9B-F9838690CBC4}" name="Duración estimada del contrato (número de Meses o días)" dataDxfId="17"/>
    <tableColumn id="8" xr3:uid="{FE381BD6-FE80-4A5B-AD7E-811CDCB7FA99}" name="Duración estimada del contrato (intervalo: días, Meses, años)" dataDxfId="16" dataCellStyle="Millares [0]"/>
    <tableColumn id="9" xr3:uid="{AA12CC0A-CBC0-44D6-99CB-84B68DCE86BE}" name="Modalidad de selección (seleccione)" dataDxfId="15" dataCellStyle="Normal 2"/>
    <tableColumn id="10" xr3:uid="{B8342F8D-AFBC-4D8B-AB4B-617625B2E4C5}" name="Descripción de la Actividad (según clasificación del presupuesto)" dataDxfId="14" dataCellStyle="BodyStyle"/>
    <tableColumn id="11" xr3:uid="{484C8E4E-AC11-4392-AA75-26C87149972B}" name="Rubro presupuesto" dataDxfId="13" dataCellStyle="Normal 2"/>
    <tableColumn id="12" xr3:uid="{A7A8BBAD-24D9-4DFB-A9AF-89D2CF17B27F}" name="Valor estimado Asignado a Contratar _x000a_(Incluya el valor total de la Contratación si tiene Vigencia Futura. De lo contrario, este valor debe ser igual al de la siguiente columna)" dataDxfId="12" dataCellStyle="Moneda [0]">
      <calculatedColumnFormula>+M6+P6+Q6</calculatedColumnFormula>
    </tableColumn>
    <tableColumn id="13" xr3:uid="{C89B4CE9-DE97-49CC-A00A-8C1BC8D0EAB4}" name="Valor estimado en la vigencia actual" dataDxfId="11" dataCellStyle="Moneda [0]">
      <calculatedColumnFormula>+O6+N6</calculatedColumnFormula>
    </tableColumn>
    <tableColumn id="14" xr3:uid="{F09322B2-6856-4ED8-9017-D12C3EA6E43C}" name="Fuente de los recursos (reintegración de la vigencia actual)" dataDxfId="10" dataCellStyle="Moneda [0]"/>
    <tableColumn id="15" xr3:uid="{101A637D-8FD8-464D-943B-4AA1A4F8CEC7}" name="Fuente de los recursos (reincorporación de la vigencia actual)" dataDxfId="9" dataCellStyle="Moneda [0]"/>
    <tableColumn id="27" xr3:uid="{E7108A98-6A46-4E28-98DB-20A744ED4B81}" name="Valor 2021" dataDxfId="8" dataCellStyle="Moneda [0]">
      <calculatedColumnFormula>5262916643</calculatedColumnFormula>
    </tableColumn>
    <tableColumn id="28" xr3:uid="{6F06F082-87C6-4BEE-AAE5-8234280E18F0}" name="Valor 2022" dataDxfId="7" dataCellStyle="Moneda [0]"/>
    <tableColumn id="29" xr3:uid="{4C60ADCA-5A09-4544-9807-E97442EEC1AF}" name="Estado" dataDxfId="6" dataCellStyle="BodyStyle"/>
    <tableColumn id="18" xr3:uid="{87E4E280-76BC-4795-AC34-6F438A5A71C8}" name="Nombre del Responsable en la Dependencia" dataDxfId="5" dataCellStyle="BodyStyle"/>
    <tableColumn id="19" xr3:uid="{64CB432B-87E0-4D6A-96D7-C618779639F2}" name="Unidad de contratación (Grupo de Gestión Contractual)" dataDxfId="4" dataCellStyle="BodyStyle"/>
    <tableColumn id="20" xr3:uid="{30ED82B7-3531-403B-B76A-FC4B77288CFD}" name="Ubicación" dataDxfId="3" dataCellStyle="BodyStyle"/>
    <tableColumn id="21" xr3:uid="{AA0B3700-9DF1-4B07-A4A5-F472CE1A7EC1}" name="Nombre del responsable " dataDxfId="2" dataCellStyle="BodyStyle"/>
    <tableColumn id="22" xr3:uid="{668D4F3E-EA30-4D3F-B893-7F7AE6D46BA3}" name="Teléfono del responsable " dataDxfId="1" dataCellStyle="BodyStyle"/>
    <tableColumn id="23" xr3:uid="{29399E1D-FB4B-4821-87F0-12CE9034F8AE}" name="Correo electrónico del responsable " dataDxfId="0" dataCellStyle="Hipervínculo"/>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aviermosquera@reincorporacion.gov.co" TargetMode="External"/><Relationship Id="rId21" Type="http://schemas.openxmlformats.org/officeDocument/2006/relationships/hyperlink" Target="mailto:javiermosquera@reincorporacion.gov.co" TargetMode="External"/><Relationship Id="rId42" Type="http://schemas.openxmlformats.org/officeDocument/2006/relationships/hyperlink" Target="mailto:javiermosquera@reincorporacion.gov.co" TargetMode="External"/><Relationship Id="rId47" Type="http://schemas.openxmlformats.org/officeDocument/2006/relationships/hyperlink" Target="mailto:javiermosquera@reincorporacion.gov.co" TargetMode="External"/><Relationship Id="rId63" Type="http://schemas.openxmlformats.org/officeDocument/2006/relationships/hyperlink" Target="mailto:javiermosquera@reincorporacion.gov.co" TargetMode="External"/><Relationship Id="rId68" Type="http://schemas.openxmlformats.org/officeDocument/2006/relationships/hyperlink" Target="mailto:javiermosquera@reincorporacion.gov.co" TargetMode="External"/><Relationship Id="rId84" Type="http://schemas.openxmlformats.org/officeDocument/2006/relationships/hyperlink" Target="mailto:javiermosquera@reincorporacion.gov.co" TargetMode="External"/><Relationship Id="rId89" Type="http://schemas.openxmlformats.org/officeDocument/2006/relationships/vmlDrawing" Target="../drawings/vmlDrawing1.vml"/><Relationship Id="rId16" Type="http://schemas.openxmlformats.org/officeDocument/2006/relationships/hyperlink" Target="mailto:javiermosquera@reincorporacion.gov.co" TargetMode="External"/><Relationship Id="rId11" Type="http://schemas.openxmlformats.org/officeDocument/2006/relationships/hyperlink" Target="mailto:javiermosquera@reincorporacion.gov.co" TargetMode="External"/><Relationship Id="rId32" Type="http://schemas.openxmlformats.org/officeDocument/2006/relationships/hyperlink" Target="mailto:javiermosquera@reincorporacion.gov.co" TargetMode="External"/><Relationship Id="rId37" Type="http://schemas.openxmlformats.org/officeDocument/2006/relationships/hyperlink" Target="mailto:javiermosquera@reincorporacion.gov.co" TargetMode="External"/><Relationship Id="rId53" Type="http://schemas.openxmlformats.org/officeDocument/2006/relationships/hyperlink" Target="mailto:javiermosquera@reincorporacion.gov.co" TargetMode="External"/><Relationship Id="rId58" Type="http://schemas.openxmlformats.org/officeDocument/2006/relationships/hyperlink" Target="mailto:javiermosquera@reincorporacion.gov.co" TargetMode="External"/><Relationship Id="rId74" Type="http://schemas.openxmlformats.org/officeDocument/2006/relationships/hyperlink" Target="mailto:javiermosquera@reincorporacion.gov.co" TargetMode="External"/><Relationship Id="rId79" Type="http://schemas.openxmlformats.org/officeDocument/2006/relationships/hyperlink" Target="mailto:javiermosquera@reincorporacion.gov.co" TargetMode="External"/><Relationship Id="rId5" Type="http://schemas.openxmlformats.org/officeDocument/2006/relationships/hyperlink" Target="mailto:javiermosquera@reincorporacion.gov.co" TargetMode="External"/><Relationship Id="rId90" Type="http://schemas.openxmlformats.org/officeDocument/2006/relationships/table" Target="../tables/table1.xml"/><Relationship Id="rId14" Type="http://schemas.openxmlformats.org/officeDocument/2006/relationships/hyperlink" Target="mailto:javiermosquera@reincorporacion.gov.co" TargetMode="External"/><Relationship Id="rId22" Type="http://schemas.openxmlformats.org/officeDocument/2006/relationships/hyperlink" Target="mailto:javiermosquera@reincorporacion.gov.co" TargetMode="External"/><Relationship Id="rId27" Type="http://schemas.openxmlformats.org/officeDocument/2006/relationships/hyperlink" Target="mailto:javiermosquera@reincorporacion.gov.co" TargetMode="External"/><Relationship Id="rId30" Type="http://schemas.openxmlformats.org/officeDocument/2006/relationships/hyperlink" Target="mailto:javiermosquera@reincorporacion.gov.co" TargetMode="External"/><Relationship Id="rId35" Type="http://schemas.openxmlformats.org/officeDocument/2006/relationships/hyperlink" Target="mailto:javiermosquera@reincorporacion.gov.co" TargetMode="External"/><Relationship Id="rId43" Type="http://schemas.openxmlformats.org/officeDocument/2006/relationships/hyperlink" Target="mailto:javiermosquera@reincorporacion.gov.co" TargetMode="External"/><Relationship Id="rId48" Type="http://schemas.openxmlformats.org/officeDocument/2006/relationships/hyperlink" Target="mailto:javiermosquera@reincorporacion.gov.co" TargetMode="External"/><Relationship Id="rId56" Type="http://schemas.openxmlformats.org/officeDocument/2006/relationships/hyperlink" Target="mailto:javiermosquera@reincorporacion.gov.co" TargetMode="External"/><Relationship Id="rId64" Type="http://schemas.openxmlformats.org/officeDocument/2006/relationships/hyperlink" Target="mailto:javiermosquera@reincorporacion.gov.co" TargetMode="External"/><Relationship Id="rId69" Type="http://schemas.openxmlformats.org/officeDocument/2006/relationships/hyperlink" Target="mailto:javiermosquera@reincorporacion.gov.co" TargetMode="External"/><Relationship Id="rId77" Type="http://schemas.openxmlformats.org/officeDocument/2006/relationships/hyperlink" Target="mailto:javiermosquera@reincorporacion.gov.co" TargetMode="External"/><Relationship Id="rId8" Type="http://schemas.openxmlformats.org/officeDocument/2006/relationships/hyperlink" Target="mailto:javiermosquera@reincorporacion.gov.co" TargetMode="External"/><Relationship Id="rId51" Type="http://schemas.openxmlformats.org/officeDocument/2006/relationships/hyperlink" Target="mailto:javiermosquera@reincorporacion.gov.co" TargetMode="External"/><Relationship Id="rId72" Type="http://schemas.openxmlformats.org/officeDocument/2006/relationships/hyperlink" Target="mailto:javiermosquera@reincorporacion.gov.co" TargetMode="External"/><Relationship Id="rId80" Type="http://schemas.openxmlformats.org/officeDocument/2006/relationships/hyperlink" Target="mailto:javiermosquera@reincorporacion.gov.co" TargetMode="External"/><Relationship Id="rId85" Type="http://schemas.openxmlformats.org/officeDocument/2006/relationships/hyperlink" Target="mailto:javiermosquera@reincorporacion.gov.co" TargetMode="External"/><Relationship Id="rId3" Type="http://schemas.openxmlformats.org/officeDocument/2006/relationships/hyperlink" Target="mailto:javiermosquera@reincorporacion.gov.co" TargetMode="External"/><Relationship Id="rId12" Type="http://schemas.openxmlformats.org/officeDocument/2006/relationships/hyperlink" Target="mailto:javiermosquera@reincorporacion.gov.co" TargetMode="External"/><Relationship Id="rId17" Type="http://schemas.openxmlformats.org/officeDocument/2006/relationships/hyperlink" Target="mailto:javiermosquera@reincorporacion.gov.co" TargetMode="External"/><Relationship Id="rId25" Type="http://schemas.openxmlformats.org/officeDocument/2006/relationships/hyperlink" Target="mailto:javiermosquera@reincorporacion.gov.co" TargetMode="External"/><Relationship Id="rId33" Type="http://schemas.openxmlformats.org/officeDocument/2006/relationships/hyperlink" Target="mailto:javiermosquera@reincorporacion.gov.co" TargetMode="External"/><Relationship Id="rId38" Type="http://schemas.openxmlformats.org/officeDocument/2006/relationships/hyperlink" Target="mailto:javiermosquera@reincorporacion.gov.co" TargetMode="External"/><Relationship Id="rId46" Type="http://schemas.openxmlformats.org/officeDocument/2006/relationships/hyperlink" Target="mailto:javiermosquera@reincorporacion.gov.co" TargetMode="External"/><Relationship Id="rId59" Type="http://schemas.openxmlformats.org/officeDocument/2006/relationships/hyperlink" Target="mailto:javiermosquera@reincorporacion.gov.co" TargetMode="External"/><Relationship Id="rId67" Type="http://schemas.openxmlformats.org/officeDocument/2006/relationships/hyperlink" Target="mailto:javiermosquera@reincorporacion.gov.co" TargetMode="External"/><Relationship Id="rId20" Type="http://schemas.openxmlformats.org/officeDocument/2006/relationships/hyperlink" Target="mailto:javiermosquera@reincorporacion.gov.co" TargetMode="External"/><Relationship Id="rId41" Type="http://schemas.openxmlformats.org/officeDocument/2006/relationships/hyperlink" Target="mailto:javiermosquera@reincorporacion.gov.co" TargetMode="External"/><Relationship Id="rId54" Type="http://schemas.openxmlformats.org/officeDocument/2006/relationships/hyperlink" Target="mailto:javiermosquera@reincorporacion.gov.co" TargetMode="External"/><Relationship Id="rId62" Type="http://schemas.openxmlformats.org/officeDocument/2006/relationships/hyperlink" Target="mailto:javiermosquera@reincorporacion.gov.co" TargetMode="External"/><Relationship Id="rId70" Type="http://schemas.openxmlformats.org/officeDocument/2006/relationships/hyperlink" Target="mailto:javiermosquera@reincorporacion.gov.co" TargetMode="External"/><Relationship Id="rId75" Type="http://schemas.openxmlformats.org/officeDocument/2006/relationships/hyperlink" Target="mailto:javiermosquera@reincorporacion.gov.co" TargetMode="External"/><Relationship Id="rId83" Type="http://schemas.openxmlformats.org/officeDocument/2006/relationships/hyperlink" Target="mailto:javiermosquera@reincorporacion.gov.co" TargetMode="External"/><Relationship Id="rId88" Type="http://schemas.openxmlformats.org/officeDocument/2006/relationships/printerSettings" Target="../printerSettings/printerSettings1.bin"/><Relationship Id="rId91" Type="http://schemas.openxmlformats.org/officeDocument/2006/relationships/comments" Target="../comments1.xml"/><Relationship Id="rId1" Type="http://schemas.openxmlformats.org/officeDocument/2006/relationships/hyperlink" Target="mailto:javiermosquera@reincorporacion.gov.co" TargetMode="External"/><Relationship Id="rId6" Type="http://schemas.openxmlformats.org/officeDocument/2006/relationships/hyperlink" Target="mailto:javiermosquera@reincorporacion.gov.co" TargetMode="External"/><Relationship Id="rId15" Type="http://schemas.openxmlformats.org/officeDocument/2006/relationships/hyperlink" Target="mailto:javiermosquera@reincorporacion.gov.co" TargetMode="External"/><Relationship Id="rId23" Type="http://schemas.openxmlformats.org/officeDocument/2006/relationships/hyperlink" Target="mailto:javiermosquera@reincorporacion.gov.co" TargetMode="External"/><Relationship Id="rId28" Type="http://schemas.openxmlformats.org/officeDocument/2006/relationships/hyperlink" Target="mailto:javiermosquera@reincorporacion.gov.co" TargetMode="External"/><Relationship Id="rId36" Type="http://schemas.openxmlformats.org/officeDocument/2006/relationships/hyperlink" Target="mailto:javiermosquera@reincorporacion.gov.co" TargetMode="External"/><Relationship Id="rId49" Type="http://schemas.openxmlformats.org/officeDocument/2006/relationships/hyperlink" Target="mailto:javiermosquera@reincorporacion.gov.co" TargetMode="External"/><Relationship Id="rId57" Type="http://schemas.openxmlformats.org/officeDocument/2006/relationships/hyperlink" Target="mailto:javiermosquera@reincorporacion.gov.co" TargetMode="External"/><Relationship Id="rId10" Type="http://schemas.openxmlformats.org/officeDocument/2006/relationships/hyperlink" Target="mailto:javiermosquera@reincorporacion.gov.co" TargetMode="External"/><Relationship Id="rId31" Type="http://schemas.openxmlformats.org/officeDocument/2006/relationships/hyperlink" Target="mailto:javiermosquera@reincorporacion.gov.co" TargetMode="External"/><Relationship Id="rId44" Type="http://schemas.openxmlformats.org/officeDocument/2006/relationships/hyperlink" Target="mailto:javiermosquera@reincorporacion.gov.co" TargetMode="External"/><Relationship Id="rId52" Type="http://schemas.openxmlformats.org/officeDocument/2006/relationships/hyperlink" Target="mailto:javiermosquera@reincorporacion.gov.co" TargetMode="External"/><Relationship Id="rId60" Type="http://schemas.openxmlformats.org/officeDocument/2006/relationships/hyperlink" Target="mailto:javiermosquera@reincorporacion.gov.co" TargetMode="External"/><Relationship Id="rId65" Type="http://schemas.openxmlformats.org/officeDocument/2006/relationships/hyperlink" Target="mailto:javiermosquera@reincorporacion.gov.co" TargetMode="External"/><Relationship Id="rId73" Type="http://schemas.openxmlformats.org/officeDocument/2006/relationships/hyperlink" Target="mailto:javiermosquera@reincorporacion.gov.co" TargetMode="External"/><Relationship Id="rId78" Type="http://schemas.openxmlformats.org/officeDocument/2006/relationships/hyperlink" Target="mailto:javiermosquera@reincorporacion.gov.co" TargetMode="External"/><Relationship Id="rId81" Type="http://schemas.openxmlformats.org/officeDocument/2006/relationships/hyperlink" Target="mailto:javiermosquera@reincorporacion.gov.co" TargetMode="External"/><Relationship Id="rId86" Type="http://schemas.openxmlformats.org/officeDocument/2006/relationships/hyperlink" Target="mailto:javiermosquera@reincorporacion.gov.co" TargetMode="External"/><Relationship Id="rId4" Type="http://schemas.openxmlformats.org/officeDocument/2006/relationships/hyperlink" Target="mailto:javiermosquera@reincorporacion.gov.co" TargetMode="External"/><Relationship Id="rId9" Type="http://schemas.openxmlformats.org/officeDocument/2006/relationships/hyperlink" Target="mailto:javiermosquera@reincorporacion.gov.co" TargetMode="External"/><Relationship Id="rId13" Type="http://schemas.openxmlformats.org/officeDocument/2006/relationships/hyperlink" Target="mailto:javiermosquera@reincorporacion.gov.co" TargetMode="External"/><Relationship Id="rId18" Type="http://schemas.openxmlformats.org/officeDocument/2006/relationships/hyperlink" Target="mailto:javiermosquera@reincorporacion.gov.co" TargetMode="External"/><Relationship Id="rId39" Type="http://schemas.openxmlformats.org/officeDocument/2006/relationships/hyperlink" Target="mailto:javiermosquera@reincorporacion.gov.co" TargetMode="External"/><Relationship Id="rId34" Type="http://schemas.openxmlformats.org/officeDocument/2006/relationships/hyperlink" Target="mailto:javiermosquera@reincorporacion.gov.co" TargetMode="External"/><Relationship Id="rId50" Type="http://schemas.openxmlformats.org/officeDocument/2006/relationships/hyperlink" Target="mailto:javiermosquera@reincorporacion.gov.co" TargetMode="External"/><Relationship Id="rId55" Type="http://schemas.openxmlformats.org/officeDocument/2006/relationships/hyperlink" Target="mailto:javiermosquera@reincorporacion.gov.co" TargetMode="External"/><Relationship Id="rId76" Type="http://schemas.openxmlformats.org/officeDocument/2006/relationships/hyperlink" Target="mailto:javiermosquera@reincorporacion.gov.co" TargetMode="External"/><Relationship Id="rId7" Type="http://schemas.openxmlformats.org/officeDocument/2006/relationships/hyperlink" Target="mailto:javiermosquera@reincorporacion.gov.co" TargetMode="External"/><Relationship Id="rId71" Type="http://schemas.openxmlformats.org/officeDocument/2006/relationships/hyperlink" Target="mailto:javiermosquera@reincorporacion.gov.co" TargetMode="External"/><Relationship Id="rId2" Type="http://schemas.openxmlformats.org/officeDocument/2006/relationships/hyperlink" Target="mailto:javiermosquera@reincorporacion.gov.co" TargetMode="External"/><Relationship Id="rId29" Type="http://schemas.openxmlformats.org/officeDocument/2006/relationships/hyperlink" Target="mailto:javiermosquera@reincorporacion.gov.co" TargetMode="External"/><Relationship Id="rId24" Type="http://schemas.openxmlformats.org/officeDocument/2006/relationships/hyperlink" Target="mailto:javiermosquera@reincorporacion.gov.co" TargetMode="External"/><Relationship Id="rId40" Type="http://schemas.openxmlformats.org/officeDocument/2006/relationships/hyperlink" Target="mailto:javiermosquera@reincorporacion.gov.co" TargetMode="External"/><Relationship Id="rId45" Type="http://schemas.openxmlformats.org/officeDocument/2006/relationships/hyperlink" Target="mailto:javiermosquera@reincorporacion.gov.co" TargetMode="External"/><Relationship Id="rId66" Type="http://schemas.openxmlformats.org/officeDocument/2006/relationships/hyperlink" Target="mailto:javiermosquera@reincorporacion.gov.co" TargetMode="External"/><Relationship Id="rId87" Type="http://schemas.openxmlformats.org/officeDocument/2006/relationships/hyperlink" Target="mailto:javiermosquera@reincorporacion.gov.co" TargetMode="External"/><Relationship Id="rId61" Type="http://schemas.openxmlformats.org/officeDocument/2006/relationships/hyperlink" Target="mailto:javiermosquera@reincorporacion.gov.co" TargetMode="External"/><Relationship Id="rId82" Type="http://schemas.openxmlformats.org/officeDocument/2006/relationships/hyperlink" Target="mailto:javiermosquera@reincorporacion.gov.co" TargetMode="External"/><Relationship Id="rId19" Type="http://schemas.openxmlformats.org/officeDocument/2006/relationships/hyperlink" Target="mailto:javiermosquera@reincorporacion.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A3C64-C10B-44C6-AC9C-80A137F3562D}">
  <dimension ref="A1:X197"/>
  <sheetViews>
    <sheetView tabSelected="1" view="pageBreakPreview" zoomScale="70" zoomScaleNormal="85" zoomScaleSheetLayoutView="70" workbookViewId="0">
      <pane xSplit="3" ySplit="5" topLeftCell="D6" activePane="bottomRight" state="frozen"/>
      <selection pane="topRight" activeCell="D1" sqref="D1"/>
      <selection pane="bottomLeft" activeCell="A6" sqref="A6"/>
      <selection pane="bottomRight" activeCell="C7" sqref="C7"/>
    </sheetView>
  </sheetViews>
  <sheetFormatPr baseColWidth="10" defaultColWidth="5" defaultRowHeight="12.5" x14ac:dyDescent="0.25"/>
  <cols>
    <col min="1" max="1" width="22.90625" style="1" customWidth="1"/>
    <col min="2" max="2" width="23.54296875" style="273" customWidth="1"/>
    <col min="3" max="3" width="46.453125" style="274" customWidth="1"/>
    <col min="4" max="4" width="31.81640625" style="273" customWidth="1"/>
    <col min="5" max="8" width="16.26953125" style="273" customWidth="1"/>
    <col min="9" max="9" width="16.453125" style="273" customWidth="1"/>
    <col min="10" max="10" width="39.7265625" style="274" customWidth="1"/>
    <col min="11" max="11" width="18.453125" style="275" customWidth="1"/>
    <col min="12" max="12" width="19.453125" style="275" customWidth="1"/>
    <col min="13" max="13" width="19.453125" style="274" customWidth="1"/>
    <col min="14" max="14" width="20.26953125" style="274" customWidth="1"/>
    <col min="15" max="15" width="20.26953125" style="273" customWidth="1"/>
    <col min="16" max="17" width="18.26953125" style="273" customWidth="1"/>
    <col min="18" max="18" width="16.26953125" style="274" customWidth="1"/>
    <col min="19" max="19" width="16.26953125" style="273" customWidth="1"/>
    <col min="20" max="21" width="16.26953125" style="274" customWidth="1"/>
    <col min="22" max="22" width="16.26953125" style="273" customWidth="1"/>
    <col min="23" max="23" width="16.26953125" style="274" customWidth="1"/>
    <col min="24" max="24" width="42.81640625" style="5" customWidth="1"/>
    <col min="25" max="16384" width="5" style="16"/>
  </cols>
  <sheetData>
    <row r="1" spans="1:24" s="6" customFormat="1" hidden="1" x14ac:dyDescent="0.25">
      <c r="A1" s="1"/>
      <c r="B1" s="2"/>
      <c r="C1" s="3"/>
      <c r="D1" s="2"/>
      <c r="E1" s="2"/>
      <c r="F1" s="2"/>
      <c r="G1" s="2"/>
      <c r="H1" s="2"/>
      <c r="I1" s="2"/>
      <c r="J1" s="3"/>
      <c r="K1" s="4"/>
      <c r="L1" s="4"/>
      <c r="M1" s="3"/>
      <c r="N1" s="3"/>
      <c r="O1" s="2"/>
      <c r="P1" s="2"/>
      <c r="Q1" s="2"/>
      <c r="R1" s="3"/>
      <c r="S1" s="2"/>
      <c r="T1" s="3"/>
      <c r="U1" s="3"/>
      <c r="V1" s="2"/>
      <c r="W1" s="3"/>
      <c r="X1" s="5"/>
    </row>
    <row r="2" spans="1:24" s="6" customFormat="1" hidden="1" x14ac:dyDescent="0.25">
      <c r="A2" s="1"/>
      <c r="B2" s="2"/>
      <c r="C2" s="3"/>
      <c r="D2" s="2"/>
      <c r="E2" s="2"/>
      <c r="F2" s="2"/>
      <c r="G2" s="2"/>
      <c r="H2" s="2"/>
      <c r="I2" s="2"/>
      <c r="J2" s="3"/>
      <c r="K2" s="4"/>
      <c r="L2" s="4"/>
      <c r="M2" s="3"/>
      <c r="N2" s="3"/>
      <c r="O2" s="2"/>
      <c r="P2" s="2"/>
      <c r="Q2" s="2"/>
      <c r="R2" s="3"/>
      <c r="S2" s="2"/>
      <c r="T2" s="3"/>
      <c r="U2" s="3"/>
      <c r="V2" s="2"/>
      <c r="W2" s="3"/>
      <c r="X2" s="5"/>
    </row>
    <row r="3" spans="1:24" s="6" customFormat="1" ht="36" hidden="1" customHeight="1" x14ac:dyDescent="0.25">
      <c r="A3" s="1"/>
      <c r="B3" s="7"/>
      <c r="C3" s="8" t="s">
        <v>0</v>
      </c>
      <c r="D3" s="9"/>
      <c r="E3" s="9"/>
      <c r="F3" s="9"/>
      <c r="G3" s="9"/>
      <c r="H3" s="9"/>
      <c r="I3" s="9"/>
      <c r="J3" s="9"/>
      <c r="K3" s="9"/>
      <c r="L3" s="9"/>
      <c r="M3" s="9"/>
      <c r="N3" s="9"/>
      <c r="O3" s="9"/>
      <c r="P3" s="9"/>
      <c r="Q3" s="9"/>
      <c r="R3" s="9"/>
      <c r="S3" s="9"/>
      <c r="T3" s="9"/>
      <c r="U3" s="9"/>
      <c r="V3" s="9"/>
      <c r="W3" s="9"/>
      <c r="X3" s="5"/>
    </row>
    <row r="4" spans="1:24" s="6" customFormat="1" ht="21.75" hidden="1" customHeight="1" x14ac:dyDescent="0.25">
      <c r="A4" s="1"/>
      <c r="B4" s="7"/>
      <c r="C4" s="9"/>
      <c r="D4" s="9"/>
      <c r="E4" s="9"/>
      <c r="F4" s="9"/>
      <c r="G4" s="9"/>
      <c r="H4" s="9"/>
      <c r="I4" s="9"/>
      <c r="J4" s="9"/>
      <c r="K4" s="9"/>
      <c r="L4" s="9"/>
      <c r="M4" s="9"/>
      <c r="N4" s="9"/>
      <c r="O4" s="9"/>
      <c r="P4" s="9"/>
      <c r="Q4" s="9"/>
      <c r="R4" s="9"/>
      <c r="S4" s="9"/>
      <c r="T4" s="9"/>
      <c r="U4" s="9"/>
      <c r="V4" s="9"/>
      <c r="W4" s="9"/>
      <c r="X4" s="5"/>
    </row>
    <row r="5" spans="1:24" ht="109.5" customHeight="1" x14ac:dyDescent="0.25">
      <c r="A5" s="10" t="s">
        <v>1</v>
      </c>
      <c r="B5" s="11" t="s">
        <v>2</v>
      </c>
      <c r="C5" s="12" t="s">
        <v>3</v>
      </c>
      <c r="D5" s="11" t="s">
        <v>4</v>
      </c>
      <c r="E5" s="11" t="s">
        <v>5</v>
      </c>
      <c r="F5" s="11" t="s">
        <v>6</v>
      </c>
      <c r="G5" s="11" t="s">
        <v>7</v>
      </c>
      <c r="H5" s="11" t="s">
        <v>8</v>
      </c>
      <c r="I5" s="11" t="s">
        <v>9</v>
      </c>
      <c r="J5" s="11" t="s">
        <v>10</v>
      </c>
      <c r="K5" s="11" t="s">
        <v>11</v>
      </c>
      <c r="L5" s="11" t="s">
        <v>12</v>
      </c>
      <c r="M5" s="13" t="s">
        <v>13</v>
      </c>
      <c r="N5" s="11" t="s">
        <v>14</v>
      </c>
      <c r="O5" s="11" t="s">
        <v>15</v>
      </c>
      <c r="P5" s="11" t="s">
        <v>16</v>
      </c>
      <c r="Q5" s="11" t="s">
        <v>17</v>
      </c>
      <c r="R5" s="11" t="s">
        <v>18</v>
      </c>
      <c r="S5" s="11" t="s">
        <v>19</v>
      </c>
      <c r="T5" s="11" t="s">
        <v>20</v>
      </c>
      <c r="U5" s="11" t="s">
        <v>21</v>
      </c>
      <c r="V5" s="14" t="s">
        <v>22</v>
      </c>
      <c r="W5" s="11" t="s">
        <v>23</v>
      </c>
      <c r="X5" s="15" t="s">
        <v>24</v>
      </c>
    </row>
    <row r="6" spans="1:24" ht="168.75" customHeight="1" x14ac:dyDescent="0.25">
      <c r="A6" s="17" t="s">
        <v>26</v>
      </c>
      <c r="B6" s="18" t="s">
        <v>27</v>
      </c>
      <c r="C6" s="19" t="s">
        <v>28</v>
      </c>
      <c r="D6" s="20">
        <v>44012</v>
      </c>
      <c r="E6" s="21" t="s">
        <v>29</v>
      </c>
      <c r="F6" s="21" t="s">
        <v>29</v>
      </c>
      <c r="G6" s="22">
        <v>18</v>
      </c>
      <c r="H6" s="23" t="s">
        <v>30</v>
      </c>
      <c r="I6" s="24" t="s">
        <v>31</v>
      </c>
      <c r="J6" s="25" t="s">
        <v>32</v>
      </c>
      <c r="K6" s="18" t="s">
        <v>33</v>
      </c>
      <c r="L6" s="26">
        <f>+M6+P6+Q6</f>
        <v>1500000000</v>
      </c>
      <c r="M6" s="26">
        <f t="shared" ref="M6:M69" si="0">+O6+N6</f>
        <v>1500000000</v>
      </c>
      <c r="N6" s="27">
        <v>0</v>
      </c>
      <c r="O6" s="28">
        <v>1500000000</v>
      </c>
      <c r="P6" s="27"/>
      <c r="Q6" s="27"/>
      <c r="R6" s="29"/>
      <c r="S6" s="29" t="s">
        <v>34</v>
      </c>
      <c r="T6" s="29" t="s">
        <v>35</v>
      </c>
      <c r="U6" s="29" t="s">
        <v>36</v>
      </c>
      <c r="V6" s="29" t="s">
        <v>37</v>
      </c>
      <c r="W6" s="30" t="s">
        <v>38</v>
      </c>
      <c r="X6" s="31" t="s">
        <v>39</v>
      </c>
    </row>
    <row r="7" spans="1:24" ht="87" customHeight="1" x14ac:dyDescent="0.25">
      <c r="A7" s="33" t="s">
        <v>26</v>
      </c>
      <c r="B7" s="34" t="s">
        <v>40</v>
      </c>
      <c r="C7" s="35" t="s">
        <v>41</v>
      </c>
      <c r="D7" s="37"/>
      <c r="E7" s="38"/>
      <c r="F7" s="38"/>
      <c r="G7" s="39">
        <v>8</v>
      </c>
      <c r="H7" s="40" t="s">
        <v>30</v>
      </c>
      <c r="I7" s="41" t="s">
        <v>42</v>
      </c>
      <c r="J7" s="42" t="s">
        <v>43</v>
      </c>
      <c r="K7" s="34" t="s">
        <v>33</v>
      </c>
      <c r="L7" s="43">
        <f>+M7+P7+Q7</f>
        <v>2553183679</v>
      </c>
      <c r="M7" s="43">
        <f t="shared" si="0"/>
        <v>2553183679</v>
      </c>
      <c r="N7" s="44">
        <v>2553183679</v>
      </c>
      <c r="O7" s="44"/>
      <c r="P7" s="44"/>
      <c r="Q7" s="44"/>
      <c r="R7" s="45" t="s">
        <v>44</v>
      </c>
      <c r="S7" s="45" t="s">
        <v>34</v>
      </c>
      <c r="T7" s="45" t="s">
        <v>35</v>
      </c>
      <c r="U7" s="45" t="s">
        <v>36</v>
      </c>
      <c r="V7" s="45" t="s">
        <v>37</v>
      </c>
      <c r="W7" s="46" t="s">
        <v>38</v>
      </c>
      <c r="X7" s="47" t="s">
        <v>39</v>
      </c>
    </row>
    <row r="8" spans="1:24" ht="98.25" customHeight="1" x14ac:dyDescent="0.25">
      <c r="A8" s="17" t="s">
        <v>26</v>
      </c>
      <c r="B8" s="18" t="s">
        <v>40</v>
      </c>
      <c r="C8" s="19" t="s">
        <v>45</v>
      </c>
      <c r="D8" s="20">
        <v>43949</v>
      </c>
      <c r="E8" s="21" t="s">
        <v>46</v>
      </c>
      <c r="F8" s="21" t="s">
        <v>46</v>
      </c>
      <c r="G8" s="22">
        <v>8</v>
      </c>
      <c r="H8" s="23" t="s">
        <v>30</v>
      </c>
      <c r="I8" s="24" t="s">
        <v>47</v>
      </c>
      <c r="J8" s="25" t="s">
        <v>43</v>
      </c>
      <c r="K8" s="18" t="s">
        <v>33</v>
      </c>
      <c r="L8" s="26">
        <f t="shared" ref="L8:L71" si="1">+M8+P8+Q8</f>
        <v>800000000</v>
      </c>
      <c r="M8" s="26">
        <f t="shared" si="0"/>
        <v>800000000</v>
      </c>
      <c r="N8" s="50">
        <v>800000000</v>
      </c>
      <c r="O8" s="50"/>
      <c r="P8" s="27"/>
      <c r="Q8" s="27"/>
      <c r="R8" s="29"/>
      <c r="S8" s="29" t="s">
        <v>34</v>
      </c>
      <c r="T8" s="29" t="s">
        <v>35</v>
      </c>
      <c r="U8" s="29" t="s">
        <v>36</v>
      </c>
      <c r="V8" s="29" t="s">
        <v>37</v>
      </c>
      <c r="W8" s="30" t="s">
        <v>38</v>
      </c>
      <c r="X8" s="31" t="s">
        <v>39</v>
      </c>
    </row>
    <row r="9" spans="1:24" ht="57.75" customHeight="1" x14ac:dyDescent="0.25">
      <c r="A9" s="33" t="s">
        <v>26</v>
      </c>
      <c r="B9" s="34" t="s">
        <v>40</v>
      </c>
      <c r="C9" s="35" t="s">
        <v>48</v>
      </c>
      <c r="D9" s="37"/>
      <c r="E9" s="38"/>
      <c r="F9" s="38"/>
      <c r="G9" s="39"/>
      <c r="H9" s="40"/>
      <c r="I9" s="41" t="s">
        <v>42</v>
      </c>
      <c r="J9" s="42" t="s">
        <v>49</v>
      </c>
      <c r="K9" s="34" t="s">
        <v>33</v>
      </c>
      <c r="L9" s="43">
        <f t="shared" si="1"/>
        <v>2836535605</v>
      </c>
      <c r="M9" s="43">
        <f t="shared" si="0"/>
        <v>2836535605</v>
      </c>
      <c r="N9" s="43"/>
      <c r="O9" s="51">
        <v>2836535605</v>
      </c>
      <c r="P9" s="44"/>
      <c r="Q9" s="44"/>
      <c r="R9" s="45" t="s">
        <v>44</v>
      </c>
      <c r="S9" s="45" t="s">
        <v>34</v>
      </c>
      <c r="T9" s="45" t="s">
        <v>35</v>
      </c>
      <c r="U9" s="45" t="s">
        <v>36</v>
      </c>
      <c r="V9" s="45" t="s">
        <v>37</v>
      </c>
      <c r="W9" s="46" t="s">
        <v>38</v>
      </c>
      <c r="X9" s="47" t="s">
        <v>39</v>
      </c>
    </row>
    <row r="10" spans="1:24" ht="99" customHeight="1" x14ac:dyDescent="0.25">
      <c r="A10" s="33" t="s">
        <v>26</v>
      </c>
      <c r="B10" s="34" t="s">
        <v>50</v>
      </c>
      <c r="C10" s="52" t="s">
        <v>51</v>
      </c>
      <c r="D10" s="37"/>
      <c r="E10" s="45"/>
      <c r="F10" s="45"/>
      <c r="G10" s="53"/>
      <c r="H10" s="45" t="s">
        <v>30</v>
      </c>
      <c r="I10" s="41" t="s">
        <v>42</v>
      </c>
      <c r="J10" s="52" t="s">
        <v>52</v>
      </c>
      <c r="K10" s="34" t="s">
        <v>33</v>
      </c>
      <c r="L10" s="43">
        <f t="shared" si="1"/>
        <v>1051718685</v>
      </c>
      <c r="M10" s="43">
        <f t="shared" si="0"/>
        <v>1051718685</v>
      </c>
      <c r="N10" s="43">
        <v>1051718685</v>
      </c>
      <c r="O10" s="43"/>
      <c r="P10" s="43"/>
      <c r="Q10" s="43"/>
      <c r="R10" s="45" t="s">
        <v>44</v>
      </c>
      <c r="S10" s="45" t="s">
        <v>34</v>
      </c>
      <c r="T10" s="45" t="s">
        <v>35</v>
      </c>
      <c r="U10" s="45" t="s">
        <v>36</v>
      </c>
      <c r="V10" s="45" t="s">
        <v>37</v>
      </c>
      <c r="W10" s="46" t="s">
        <v>53</v>
      </c>
      <c r="X10" s="47" t="s">
        <v>39</v>
      </c>
    </row>
    <row r="11" spans="1:24" ht="116.25" customHeight="1" x14ac:dyDescent="0.25">
      <c r="A11" s="17" t="s">
        <v>26</v>
      </c>
      <c r="B11" s="18" t="s">
        <v>27</v>
      </c>
      <c r="C11" s="19" t="s">
        <v>54</v>
      </c>
      <c r="D11" s="54">
        <v>43951</v>
      </c>
      <c r="E11" s="29" t="s">
        <v>46</v>
      </c>
      <c r="F11" s="55" t="s">
        <v>46</v>
      </c>
      <c r="G11" s="22">
        <v>7</v>
      </c>
      <c r="H11" s="23" t="s">
        <v>30</v>
      </c>
      <c r="I11" s="24" t="s">
        <v>31</v>
      </c>
      <c r="J11" s="25" t="s">
        <v>55</v>
      </c>
      <c r="K11" s="18" t="s">
        <v>33</v>
      </c>
      <c r="L11" s="26">
        <f t="shared" si="1"/>
        <v>4120000000</v>
      </c>
      <c r="M11" s="26">
        <f t="shared" si="0"/>
        <v>4120000000</v>
      </c>
      <c r="N11" s="27">
        <v>0</v>
      </c>
      <c r="O11" s="27">
        <v>4120000000</v>
      </c>
      <c r="P11" s="27"/>
      <c r="Q11" s="27"/>
      <c r="R11" s="29"/>
      <c r="S11" s="29" t="s">
        <v>34</v>
      </c>
      <c r="T11" s="29" t="s">
        <v>35</v>
      </c>
      <c r="U11" s="29" t="s">
        <v>36</v>
      </c>
      <c r="V11" s="29" t="s">
        <v>37</v>
      </c>
      <c r="W11" s="30" t="s">
        <v>38</v>
      </c>
      <c r="X11" s="31" t="s">
        <v>39</v>
      </c>
    </row>
    <row r="12" spans="1:24" ht="144" customHeight="1" x14ac:dyDescent="0.25">
      <c r="A12" s="56" t="s">
        <v>56</v>
      </c>
      <c r="B12" s="57" t="s">
        <v>27</v>
      </c>
      <c r="C12" s="58" t="s">
        <v>57</v>
      </c>
      <c r="D12" s="59">
        <v>43889</v>
      </c>
      <c r="E12" s="60" t="s">
        <v>58</v>
      </c>
      <c r="F12" s="61" t="s">
        <v>59</v>
      </c>
      <c r="G12" s="62">
        <v>8</v>
      </c>
      <c r="H12" s="63" t="s">
        <v>30</v>
      </c>
      <c r="I12" s="64" t="s">
        <v>60</v>
      </c>
      <c r="J12" s="65" t="s">
        <v>61</v>
      </c>
      <c r="K12" s="57" t="s">
        <v>33</v>
      </c>
      <c r="L12" s="66">
        <f t="shared" si="1"/>
        <v>400000000</v>
      </c>
      <c r="M12" s="66">
        <f t="shared" si="0"/>
        <v>400000000</v>
      </c>
      <c r="N12" s="67">
        <v>200000000</v>
      </c>
      <c r="O12" s="67">
        <v>200000000</v>
      </c>
      <c r="P12" s="67"/>
      <c r="Q12" s="67"/>
      <c r="R12" s="60" t="s">
        <v>62</v>
      </c>
      <c r="S12" s="60" t="s">
        <v>63</v>
      </c>
      <c r="T12" s="60" t="s">
        <v>35</v>
      </c>
      <c r="U12" s="60" t="s">
        <v>36</v>
      </c>
      <c r="V12" s="60" t="s">
        <v>37</v>
      </c>
      <c r="W12" s="68" t="s">
        <v>38</v>
      </c>
      <c r="X12" s="69" t="s">
        <v>39</v>
      </c>
    </row>
    <row r="13" spans="1:24" ht="124.5" customHeight="1" x14ac:dyDescent="0.25">
      <c r="A13" s="56" t="s">
        <v>56</v>
      </c>
      <c r="B13" s="57">
        <v>86101700</v>
      </c>
      <c r="C13" s="58" t="s">
        <v>64</v>
      </c>
      <c r="D13" s="70">
        <v>43951</v>
      </c>
      <c r="E13" s="60" t="s">
        <v>46</v>
      </c>
      <c r="F13" s="61" t="s">
        <v>29</v>
      </c>
      <c r="G13" s="62">
        <v>6</v>
      </c>
      <c r="H13" s="63" t="s">
        <v>30</v>
      </c>
      <c r="I13" s="71" t="s">
        <v>65</v>
      </c>
      <c r="J13" s="65" t="s">
        <v>66</v>
      </c>
      <c r="K13" s="57"/>
      <c r="L13" s="66">
        <f>+M13+P13+Q13</f>
        <v>500000000</v>
      </c>
      <c r="M13" s="66">
        <f t="shared" si="0"/>
        <v>500000000</v>
      </c>
      <c r="N13" s="67"/>
      <c r="O13" s="67">
        <v>500000000</v>
      </c>
      <c r="P13" s="72"/>
      <c r="Q13" s="66"/>
      <c r="R13" s="60"/>
      <c r="S13" s="60" t="s">
        <v>63</v>
      </c>
      <c r="T13" s="60" t="s">
        <v>35</v>
      </c>
      <c r="U13" s="60" t="s">
        <v>36</v>
      </c>
      <c r="V13" s="60" t="s">
        <v>37</v>
      </c>
      <c r="W13" s="68" t="s">
        <v>38</v>
      </c>
      <c r="X13" s="69" t="s">
        <v>39</v>
      </c>
    </row>
    <row r="14" spans="1:24" ht="173.25" customHeight="1" x14ac:dyDescent="0.25">
      <c r="A14" s="56" t="s">
        <v>67</v>
      </c>
      <c r="B14" s="71">
        <v>84131601</v>
      </c>
      <c r="C14" s="58" t="s">
        <v>68</v>
      </c>
      <c r="D14" s="59">
        <v>43868</v>
      </c>
      <c r="E14" s="74" t="s">
        <v>69</v>
      </c>
      <c r="F14" s="60" t="s">
        <v>46</v>
      </c>
      <c r="G14" s="60" t="s">
        <v>70</v>
      </c>
      <c r="H14" s="63" t="s">
        <v>30</v>
      </c>
      <c r="I14" s="71" t="s">
        <v>71</v>
      </c>
      <c r="J14" s="75" t="s">
        <v>72</v>
      </c>
      <c r="K14" s="57" t="s">
        <v>33</v>
      </c>
      <c r="L14" s="66">
        <f t="shared" si="1"/>
        <v>407301230</v>
      </c>
      <c r="M14" s="66">
        <f t="shared" si="0"/>
        <v>407301230</v>
      </c>
      <c r="N14" s="76">
        <f>87393264+81145176</f>
        <v>168538440</v>
      </c>
      <c r="O14" s="76">
        <f>174489272+64273518</f>
        <v>238762790</v>
      </c>
      <c r="P14" s="66"/>
      <c r="Q14" s="66"/>
      <c r="R14" s="60" t="s">
        <v>62</v>
      </c>
      <c r="S14" s="60" t="s">
        <v>73</v>
      </c>
      <c r="T14" s="60" t="s">
        <v>35</v>
      </c>
      <c r="U14" s="60" t="s">
        <v>36</v>
      </c>
      <c r="V14" s="60" t="s">
        <v>37</v>
      </c>
      <c r="W14" s="68" t="s">
        <v>38</v>
      </c>
      <c r="X14" s="69" t="s">
        <v>39</v>
      </c>
    </row>
    <row r="15" spans="1:24" ht="87.5" customHeight="1" x14ac:dyDescent="0.25">
      <c r="A15" s="56" t="s">
        <v>56</v>
      </c>
      <c r="B15" s="57" t="s">
        <v>74</v>
      </c>
      <c r="C15" s="58" t="s">
        <v>75</v>
      </c>
      <c r="D15" s="59">
        <v>43903</v>
      </c>
      <c r="E15" s="74" t="s">
        <v>59</v>
      </c>
      <c r="F15" s="74" t="s">
        <v>59</v>
      </c>
      <c r="G15" s="60" t="s">
        <v>76</v>
      </c>
      <c r="H15" s="63" t="s">
        <v>30</v>
      </c>
      <c r="I15" s="58" t="s">
        <v>31</v>
      </c>
      <c r="J15" s="65" t="s">
        <v>77</v>
      </c>
      <c r="K15" s="77" t="s">
        <v>33</v>
      </c>
      <c r="L15" s="66">
        <f>+M15+P15+Q15</f>
        <v>2021028215</v>
      </c>
      <c r="M15" s="66">
        <f t="shared" si="0"/>
        <v>2021028215</v>
      </c>
      <c r="N15" s="66">
        <f>500000000-150000000</f>
        <v>350000000</v>
      </c>
      <c r="O15" s="66">
        <v>1671028215</v>
      </c>
      <c r="P15" s="76"/>
      <c r="Q15" s="76"/>
      <c r="R15" s="60" t="s">
        <v>62</v>
      </c>
      <c r="S15" s="60" t="s">
        <v>78</v>
      </c>
      <c r="T15" s="60" t="s">
        <v>35</v>
      </c>
      <c r="U15" s="60" t="s">
        <v>36</v>
      </c>
      <c r="V15" s="60" t="s">
        <v>37</v>
      </c>
      <c r="W15" s="68" t="s">
        <v>38</v>
      </c>
      <c r="X15" s="69" t="s">
        <v>39</v>
      </c>
    </row>
    <row r="16" spans="1:24" ht="228" customHeight="1" x14ac:dyDescent="0.25">
      <c r="A16" s="56" t="s">
        <v>79</v>
      </c>
      <c r="B16" s="71" t="s">
        <v>80</v>
      </c>
      <c r="C16" s="58" t="s">
        <v>81</v>
      </c>
      <c r="D16" s="59">
        <v>43889</v>
      </c>
      <c r="E16" s="60" t="s">
        <v>58</v>
      </c>
      <c r="F16" s="60" t="s">
        <v>58</v>
      </c>
      <c r="G16" s="62">
        <v>9</v>
      </c>
      <c r="H16" s="60" t="s">
        <v>30</v>
      </c>
      <c r="I16" s="71" t="s">
        <v>31</v>
      </c>
      <c r="J16" s="75" t="s">
        <v>82</v>
      </c>
      <c r="K16" s="57" t="s">
        <v>83</v>
      </c>
      <c r="L16" s="66">
        <f t="shared" si="1"/>
        <v>4901250000</v>
      </c>
      <c r="M16" s="66">
        <f t="shared" si="0"/>
        <v>4901250000</v>
      </c>
      <c r="N16" s="66"/>
      <c r="O16" s="66">
        <f>3101250000+1800000000</f>
        <v>4901250000</v>
      </c>
      <c r="P16" s="66"/>
      <c r="Q16" s="66"/>
      <c r="R16" s="60" t="s">
        <v>62</v>
      </c>
      <c r="S16" s="60" t="s">
        <v>78</v>
      </c>
      <c r="T16" s="60" t="s">
        <v>35</v>
      </c>
      <c r="U16" s="60" t="s">
        <v>36</v>
      </c>
      <c r="V16" s="60" t="s">
        <v>37</v>
      </c>
      <c r="W16" s="68" t="s">
        <v>84</v>
      </c>
      <c r="X16" s="69" t="s">
        <v>39</v>
      </c>
    </row>
    <row r="17" spans="1:24" ht="71.25" customHeight="1" x14ac:dyDescent="0.25">
      <c r="A17" s="33" t="s">
        <v>85</v>
      </c>
      <c r="B17" s="41" t="s">
        <v>86</v>
      </c>
      <c r="C17" s="35" t="s">
        <v>87</v>
      </c>
      <c r="D17" s="37">
        <v>43861</v>
      </c>
      <c r="E17" s="45" t="s">
        <v>69</v>
      </c>
      <c r="F17" s="45" t="s">
        <v>69</v>
      </c>
      <c r="G17" s="53">
        <v>10</v>
      </c>
      <c r="H17" s="40" t="s">
        <v>30</v>
      </c>
      <c r="I17" s="41" t="s">
        <v>31</v>
      </c>
      <c r="J17" s="52" t="s">
        <v>88</v>
      </c>
      <c r="K17" s="34" t="s">
        <v>33</v>
      </c>
      <c r="L17" s="43">
        <f t="shared" si="1"/>
        <v>482131298.88</v>
      </c>
      <c r="M17" s="43">
        <f t="shared" si="0"/>
        <v>482131298.88</v>
      </c>
      <c r="N17" s="43">
        <v>482131298.88</v>
      </c>
      <c r="O17" s="43">
        <v>0</v>
      </c>
      <c r="P17" s="43"/>
      <c r="Q17" s="43"/>
      <c r="R17" s="45" t="s">
        <v>89</v>
      </c>
      <c r="S17" s="45" t="s">
        <v>90</v>
      </c>
      <c r="T17" s="45" t="s">
        <v>35</v>
      </c>
      <c r="U17" s="45" t="s">
        <v>36</v>
      </c>
      <c r="V17" s="45" t="s">
        <v>37</v>
      </c>
      <c r="W17" s="46" t="s">
        <v>38</v>
      </c>
      <c r="X17" s="47" t="s">
        <v>39</v>
      </c>
    </row>
    <row r="18" spans="1:24" ht="156.75" customHeight="1" x14ac:dyDescent="0.25">
      <c r="A18" s="56" t="s">
        <v>91</v>
      </c>
      <c r="B18" s="71" t="s">
        <v>92</v>
      </c>
      <c r="C18" s="78" t="s">
        <v>93</v>
      </c>
      <c r="D18" s="59">
        <v>43889</v>
      </c>
      <c r="E18" s="60" t="s">
        <v>58</v>
      </c>
      <c r="F18" s="61" t="s">
        <v>59</v>
      </c>
      <c r="G18" s="62">
        <v>8</v>
      </c>
      <c r="H18" s="63" t="s">
        <v>30</v>
      </c>
      <c r="I18" s="71" t="s">
        <v>65</v>
      </c>
      <c r="J18" s="75" t="s">
        <v>94</v>
      </c>
      <c r="K18" s="57" t="s">
        <v>33</v>
      </c>
      <c r="L18" s="66">
        <f t="shared" si="1"/>
        <v>2396957500</v>
      </c>
      <c r="M18" s="66">
        <f t="shared" si="0"/>
        <v>2396957500</v>
      </c>
      <c r="N18" s="66">
        <f>199292730+56267860</f>
        <v>255560590</v>
      </c>
      <c r="O18" s="66">
        <f>1916325470+225071440</f>
        <v>2141396910</v>
      </c>
      <c r="P18" s="66"/>
      <c r="Q18" s="66"/>
      <c r="R18" s="60" t="s">
        <v>62</v>
      </c>
      <c r="S18" s="60" t="s">
        <v>95</v>
      </c>
      <c r="T18" s="60" t="s">
        <v>35</v>
      </c>
      <c r="U18" s="60" t="s">
        <v>36</v>
      </c>
      <c r="V18" s="60" t="s">
        <v>37</v>
      </c>
      <c r="W18" s="68" t="s">
        <v>38</v>
      </c>
      <c r="X18" s="69" t="s">
        <v>39</v>
      </c>
    </row>
    <row r="19" spans="1:24" ht="156.75" customHeight="1" x14ac:dyDescent="0.25">
      <c r="A19" s="56" t="s">
        <v>79</v>
      </c>
      <c r="B19" s="71" t="s">
        <v>96</v>
      </c>
      <c r="C19" s="58" t="s">
        <v>97</v>
      </c>
      <c r="D19" s="59">
        <v>43889</v>
      </c>
      <c r="E19" s="60" t="s">
        <v>58</v>
      </c>
      <c r="F19" s="61" t="s">
        <v>58</v>
      </c>
      <c r="G19" s="62">
        <v>9</v>
      </c>
      <c r="H19" s="63" t="s">
        <v>30</v>
      </c>
      <c r="I19" s="71" t="s">
        <v>31</v>
      </c>
      <c r="J19" s="75" t="s">
        <v>98</v>
      </c>
      <c r="K19" s="57" t="s">
        <v>99</v>
      </c>
      <c r="L19" s="66">
        <f>+M19+P19+Q19</f>
        <v>350000000</v>
      </c>
      <c r="M19" s="66">
        <f>+O19+N19</f>
        <v>350000000</v>
      </c>
      <c r="N19" s="66"/>
      <c r="O19" s="66">
        <v>350000000</v>
      </c>
      <c r="P19" s="66"/>
      <c r="Q19" s="66"/>
      <c r="R19" s="60" t="s">
        <v>62</v>
      </c>
      <c r="S19" s="60" t="s">
        <v>78</v>
      </c>
      <c r="T19" s="60" t="s">
        <v>100</v>
      </c>
      <c r="U19" s="60" t="s">
        <v>36</v>
      </c>
      <c r="V19" s="60" t="s">
        <v>37</v>
      </c>
      <c r="W19" s="68" t="s">
        <v>101</v>
      </c>
      <c r="X19" s="69" t="s">
        <v>39</v>
      </c>
    </row>
    <row r="20" spans="1:24" ht="156.75" customHeight="1" x14ac:dyDescent="0.25">
      <c r="A20" s="56" t="s">
        <v>91</v>
      </c>
      <c r="B20" s="71" t="s">
        <v>102</v>
      </c>
      <c r="C20" s="58" t="s">
        <v>103</v>
      </c>
      <c r="D20" s="59">
        <v>43921</v>
      </c>
      <c r="E20" s="60" t="s">
        <v>59</v>
      </c>
      <c r="F20" s="60" t="s">
        <v>59</v>
      </c>
      <c r="G20" s="79">
        <v>8</v>
      </c>
      <c r="H20" s="63" t="s">
        <v>30</v>
      </c>
      <c r="I20" s="71" t="s">
        <v>31</v>
      </c>
      <c r="J20" s="75" t="s">
        <v>104</v>
      </c>
      <c r="K20" s="57" t="s">
        <v>33</v>
      </c>
      <c r="L20" s="66">
        <f t="shared" si="1"/>
        <v>3500000000</v>
      </c>
      <c r="M20" s="66">
        <f t="shared" si="0"/>
        <v>3500000000</v>
      </c>
      <c r="N20" s="66">
        <f>463535700+64651618</f>
        <v>528187318</v>
      </c>
      <c r="O20" s="66">
        <f>2627017700+344794982</f>
        <v>2971812682</v>
      </c>
      <c r="P20" s="66"/>
      <c r="Q20" s="66"/>
      <c r="R20" s="60" t="s">
        <v>62</v>
      </c>
      <c r="S20" s="60" t="s">
        <v>95</v>
      </c>
      <c r="T20" s="60" t="s">
        <v>35</v>
      </c>
      <c r="U20" s="60" t="s">
        <v>36</v>
      </c>
      <c r="V20" s="60" t="s">
        <v>37</v>
      </c>
      <c r="W20" s="68" t="s">
        <v>38</v>
      </c>
      <c r="X20" s="69" t="s">
        <v>39</v>
      </c>
    </row>
    <row r="21" spans="1:24" ht="157.5" customHeight="1" x14ac:dyDescent="0.25">
      <c r="A21" s="17" t="s">
        <v>105</v>
      </c>
      <c r="B21" s="24" t="s">
        <v>106</v>
      </c>
      <c r="C21" s="19" t="s">
        <v>107</v>
      </c>
      <c r="D21" s="54">
        <v>43951</v>
      </c>
      <c r="E21" s="29" t="s">
        <v>46</v>
      </c>
      <c r="F21" s="29" t="s">
        <v>46</v>
      </c>
      <c r="G21" s="80">
        <v>7</v>
      </c>
      <c r="H21" s="23" t="s">
        <v>30</v>
      </c>
      <c r="I21" s="24" t="s">
        <v>31</v>
      </c>
      <c r="J21" s="81" t="s">
        <v>108</v>
      </c>
      <c r="K21" s="18" t="s">
        <v>109</v>
      </c>
      <c r="L21" s="26">
        <f t="shared" si="1"/>
        <v>306074960</v>
      </c>
      <c r="M21" s="26">
        <f t="shared" si="0"/>
        <v>306074960</v>
      </c>
      <c r="N21" s="26">
        <f>306074960</f>
        <v>306074960</v>
      </c>
      <c r="O21" s="26"/>
      <c r="P21" s="26"/>
      <c r="Q21" s="26"/>
      <c r="R21" s="29"/>
      <c r="S21" s="29" t="s">
        <v>110</v>
      </c>
      <c r="T21" s="29" t="s">
        <v>35</v>
      </c>
      <c r="U21" s="29" t="s">
        <v>36</v>
      </c>
      <c r="V21" s="29" t="s">
        <v>37</v>
      </c>
      <c r="W21" s="30" t="s">
        <v>38</v>
      </c>
      <c r="X21" s="31" t="s">
        <v>39</v>
      </c>
    </row>
    <row r="22" spans="1:24" ht="86.25" customHeight="1" x14ac:dyDescent="0.25">
      <c r="A22" s="17" t="s">
        <v>91</v>
      </c>
      <c r="B22" s="24" t="s">
        <v>106</v>
      </c>
      <c r="C22" s="19" t="s">
        <v>111</v>
      </c>
      <c r="D22" s="20">
        <v>43980</v>
      </c>
      <c r="E22" s="29" t="s">
        <v>29</v>
      </c>
      <c r="F22" s="29" t="s">
        <v>29</v>
      </c>
      <c r="G22" s="80">
        <v>7</v>
      </c>
      <c r="H22" s="23" t="s">
        <v>30</v>
      </c>
      <c r="I22" s="24" t="s">
        <v>31</v>
      </c>
      <c r="J22" s="81" t="s">
        <v>112</v>
      </c>
      <c r="K22" s="18" t="s">
        <v>109</v>
      </c>
      <c r="L22" s="26">
        <f t="shared" si="1"/>
        <v>1559119960</v>
      </c>
      <c r="M22" s="26">
        <f t="shared" si="0"/>
        <v>1559119960</v>
      </c>
      <c r="N22" s="26">
        <f>559119960+500000000</f>
        <v>1059119960</v>
      </c>
      <c r="O22" s="82">
        <v>500000000</v>
      </c>
      <c r="P22" s="83"/>
      <c r="Q22" s="26"/>
      <c r="R22" s="29"/>
      <c r="S22" s="29" t="s">
        <v>110</v>
      </c>
      <c r="T22" s="29" t="s">
        <v>35</v>
      </c>
      <c r="U22" s="29" t="s">
        <v>36</v>
      </c>
      <c r="V22" s="29" t="s">
        <v>37</v>
      </c>
      <c r="W22" s="30" t="s">
        <v>38</v>
      </c>
      <c r="X22" s="84" t="s">
        <v>39</v>
      </c>
    </row>
    <row r="23" spans="1:24" ht="144.75" customHeight="1" x14ac:dyDescent="0.25">
      <c r="A23" s="33" t="s">
        <v>26</v>
      </c>
      <c r="B23" s="41" t="s">
        <v>113</v>
      </c>
      <c r="C23" s="35" t="s">
        <v>114</v>
      </c>
      <c r="D23" s="37">
        <v>43889</v>
      </c>
      <c r="E23" s="38" t="s">
        <v>58</v>
      </c>
      <c r="F23" s="38" t="s">
        <v>58</v>
      </c>
      <c r="G23" s="53">
        <v>8</v>
      </c>
      <c r="H23" s="45" t="s">
        <v>30</v>
      </c>
      <c r="I23" s="41" t="s">
        <v>115</v>
      </c>
      <c r="J23" s="52" t="s">
        <v>116</v>
      </c>
      <c r="K23" s="34" t="s">
        <v>117</v>
      </c>
      <c r="L23" s="43">
        <f t="shared" si="1"/>
        <v>259314777</v>
      </c>
      <c r="M23" s="43">
        <f t="shared" si="0"/>
        <v>259314777</v>
      </c>
      <c r="N23" s="43">
        <v>259314777</v>
      </c>
      <c r="O23" s="43"/>
      <c r="P23" s="85"/>
      <c r="Q23" s="43"/>
      <c r="R23" s="45" t="s">
        <v>89</v>
      </c>
      <c r="S23" s="45" t="s">
        <v>118</v>
      </c>
      <c r="T23" s="45" t="s">
        <v>35</v>
      </c>
      <c r="U23" s="45" t="s">
        <v>36</v>
      </c>
      <c r="V23" s="45" t="s">
        <v>37</v>
      </c>
      <c r="W23" s="46" t="s">
        <v>38</v>
      </c>
      <c r="X23" s="84" t="s">
        <v>39</v>
      </c>
    </row>
    <row r="24" spans="1:24" ht="144.75" customHeight="1" x14ac:dyDescent="0.25">
      <c r="A24" s="17" t="s">
        <v>26</v>
      </c>
      <c r="B24" s="24">
        <v>80111500</v>
      </c>
      <c r="C24" s="19" t="s">
        <v>119</v>
      </c>
      <c r="D24" s="20">
        <v>43889</v>
      </c>
      <c r="E24" s="29" t="s">
        <v>58</v>
      </c>
      <c r="F24" s="29" t="s">
        <v>58</v>
      </c>
      <c r="G24" s="80">
        <v>5</v>
      </c>
      <c r="H24" s="23" t="s">
        <v>30</v>
      </c>
      <c r="I24" s="24" t="s">
        <v>31</v>
      </c>
      <c r="J24" s="81" t="s">
        <v>120</v>
      </c>
      <c r="K24" s="18" t="s">
        <v>33</v>
      </c>
      <c r="L24" s="26">
        <f t="shared" si="1"/>
        <v>500000000</v>
      </c>
      <c r="M24" s="26">
        <f t="shared" si="0"/>
        <v>500000000</v>
      </c>
      <c r="N24" s="26"/>
      <c r="O24" s="26">
        <v>500000000</v>
      </c>
      <c r="P24" s="26"/>
      <c r="Q24" s="26"/>
      <c r="R24" s="29"/>
      <c r="S24" s="29" t="s">
        <v>121</v>
      </c>
      <c r="T24" s="29" t="s">
        <v>35</v>
      </c>
      <c r="U24" s="29" t="s">
        <v>36</v>
      </c>
      <c r="V24" s="29" t="s">
        <v>37</v>
      </c>
      <c r="W24" s="30" t="s">
        <v>38</v>
      </c>
      <c r="X24" s="31" t="s">
        <v>39</v>
      </c>
    </row>
    <row r="25" spans="1:24" ht="71.25" customHeight="1" x14ac:dyDescent="0.25">
      <c r="A25" s="33" t="s">
        <v>122</v>
      </c>
      <c r="B25" s="41">
        <v>80111500</v>
      </c>
      <c r="C25" s="35" t="s">
        <v>123</v>
      </c>
      <c r="D25" s="37"/>
      <c r="E25" s="45"/>
      <c r="F25" s="45"/>
      <c r="G25" s="53"/>
      <c r="H25" s="45"/>
      <c r="I25" s="41" t="s">
        <v>31</v>
      </c>
      <c r="J25" s="52" t="s">
        <v>124</v>
      </c>
      <c r="K25" s="34" t="s">
        <v>33</v>
      </c>
      <c r="L25" s="43">
        <f>+M25+P25+Q25</f>
        <v>1674983232</v>
      </c>
      <c r="M25" s="43">
        <f t="shared" si="0"/>
        <v>1674983232</v>
      </c>
      <c r="N25" s="43">
        <v>0</v>
      </c>
      <c r="O25" s="43">
        <f>1674983232</f>
        <v>1674983232</v>
      </c>
      <c r="P25" s="43"/>
      <c r="Q25" s="43"/>
      <c r="R25" s="45" t="s">
        <v>89</v>
      </c>
      <c r="S25" s="45" t="s">
        <v>125</v>
      </c>
      <c r="T25" s="45" t="s">
        <v>35</v>
      </c>
      <c r="U25" s="45" t="s">
        <v>36</v>
      </c>
      <c r="V25" s="45" t="s">
        <v>37</v>
      </c>
      <c r="W25" s="46" t="s">
        <v>38</v>
      </c>
      <c r="X25" s="47" t="s">
        <v>39</v>
      </c>
    </row>
    <row r="26" spans="1:24" ht="129.75" customHeight="1" x14ac:dyDescent="0.25">
      <c r="A26" s="33" t="s">
        <v>122</v>
      </c>
      <c r="B26" s="34">
        <v>80111500</v>
      </c>
      <c r="C26" s="35" t="s">
        <v>126</v>
      </c>
      <c r="D26" s="37"/>
      <c r="E26" s="45"/>
      <c r="F26" s="45"/>
      <c r="G26" s="53"/>
      <c r="H26" s="45"/>
      <c r="I26" s="41" t="s">
        <v>31</v>
      </c>
      <c r="J26" s="52" t="s">
        <v>127</v>
      </c>
      <c r="K26" s="41" t="s">
        <v>128</v>
      </c>
      <c r="L26" s="43">
        <f t="shared" si="1"/>
        <v>43102462611</v>
      </c>
      <c r="M26" s="43">
        <f t="shared" si="0"/>
        <v>43102462611</v>
      </c>
      <c r="N26" s="86">
        <v>14890994008</v>
      </c>
      <c r="O26" s="86">
        <v>28211468603</v>
      </c>
      <c r="P26" s="43"/>
      <c r="Q26" s="43"/>
      <c r="R26" s="45" t="s">
        <v>89</v>
      </c>
      <c r="S26" s="45" t="s">
        <v>129</v>
      </c>
      <c r="T26" s="45" t="s">
        <v>35</v>
      </c>
      <c r="U26" s="45" t="s">
        <v>36</v>
      </c>
      <c r="V26" s="45" t="s">
        <v>37</v>
      </c>
      <c r="W26" s="46" t="s">
        <v>38</v>
      </c>
      <c r="X26" s="47" t="s">
        <v>39</v>
      </c>
    </row>
    <row r="27" spans="1:24" ht="141" customHeight="1" x14ac:dyDescent="0.25">
      <c r="A27" s="56" t="s">
        <v>26</v>
      </c>
      <c r="B27" s="71" t="s">
        <v>130</v>
      </c>
      <c r="C27" s="58" t="s">
        <v>131</v>
      </c>
      <c r="D27" s="59">
        <v>43889</v>
      </c>
      <c r="E27" s="60" t="s">
        <v>58</v>
      </c>
      <c r="F27" s="61" t="s">
        <v>46</v>
      </c>
      <c r="G27" s="62">
        <v>8</v>
      </c>
      <c r="H27" s="60" t="s">
        <v>30</v>
      </c>
      <c r="I27" s="71" t="s">
        <v>71</v>
      </c>
      <c r="J27" s="75" t="s">
        <v>132</v>
      </c>
      <c r="K27" s="57" t="s">
        <v>133</v>
      </c>
      <c r="L27" s="66">
        <f t="shared" si="1"/>
        <v>2220000000</v>
      </c>
      <c r="M27" s="66">
        <f t="shared" si="0"/>
        <v>2220000000</v>
      </c>
      <c r="N27" s="66">
        <f>450000000+200000000</f>
        <v>650000000</v>
      </c>
      <c r="O27" s="66">
        <f>1210000000+160000000+200000000</f>
        <v>1570000000</v>
      </c>
      <c r="P27" s="66"/>
      <c r="Q27" s="66"/>
      <c r="R27" s="60" t="s">
        <v>62</v>
      </c>
      <c r="S27" s="60" t="s">
        <v>125</v>
      </c>
      <c r="T27" s="60" t="s">
        <v>35</v>
      </c>
      <c r="U27" s="60" t="s">
        <v>36</v>
      </c>
      <c r="V27" s="60" t="s">
        <v>37</v>
      </c>
      <c r="W27" s="68" t="s">
        <v>134</v>
      </c>
      <c r="X27" s="69" t="s">
        <v>39</v>
      </c>
    </row>
    <row r="28" spans="1:24" ht="51" customHeight="1" x14ac:dyDescent="0.25">
      <c r="A28" s="33" t="s">
        <v>135</v>
      </c>
      <c r="B28" s="34">
        <v>80111500</v>
      </c>
      <c r="C28" s="87" t="s">
        <v>136</v>
      </c>
      <c r="D28" s="37"/>
      <c r="E28" s="45" t="s">
        <v>137</v>
      </c>
      <c r="F28" s="45" t="s">
        <v>137</v>
      </c>
      <c r="G28" s="53">
        <v>12</v>
      </c>
      <c r="H28" s="45" t="s">
        <v>30</v>
      </c>
      <c r="I28" s="41" t="s">
        <v>31</v>
      </c>
      <c r="J28" s="87" t="s">
        <v>138</v>
      </c>
      <c r="K28" s="34" t="s">
        <v>33</v>
      </c>
      <c r="L28" s="43">
        <f t="shared" si="1"/>
        <v>3152211545</v>
      </c>
      <c r="M28" s="43">
        <f t="shared" si="0"/>
        <v>3152211545</v>
      </c>
      <c r="N28" s="86">
        <f>5848352092-57973271-61147717-2740320-36910000-4313830381-36910000</f>
        <v>1338840403</v>
      </c>
      <c r="O28" s="86">
        <f>4125719100+502428853-2814776811</f>
        <v>1813371142</v>
      </c>
      <c r="P28" s="43"/>
      <c r="Q28" s="43"/>
      <c r="R28" s="45" t="s">
        <v>89</v>
      </c>
      <c r="S28" s="45" t="s">
        <v>129</v>
      </c>
      <c r="T28" s="45" t="s">
        <v>35</v>
      </c>
      <c r="U28" s="45" t="s">
        <v>36</v>
      </c>
      <c r="V28" s="45" t="s">
        <v>37</v>
      </c>
      <c r="W28" s="46" t="s">
        <v>134</v>
      </c>
      <c r="X28" s="47" t="s">
        <v>39</v>
      </c>
    </row>
    <row r="29" spans="1:24" ht="85.5" customHeight="1" x14ac:dyDescent="0.25">
      <c r="A29" s="33" t="s">
        <v>139</v>
      </c>
      <c r="B29" s="34" t="s">
        <v>140</v>
      </c>
      <c r="C29" s="35" t="s">
        <v>141</v>
      </c>
      <c r="D29" s="37"/>
      <c r="E29" s="38" t="s">
        <v>137</v>
      </c>
      <c r="F29" s="38" t="s">
        <v>137</v>
      </c>
      <c r="G29" s="53">
        <v>12</v>
      </c>
      <c r="H29" s="88" t="s">
        <v>30</v>
      </c>
      <c r="I29" s="41" t="s">
        <v>42</v>
      </c>
      <c r="J29" s="45" t="s">
        <v>142</v>
      </c>
      <c r="K29" s="41" t="s">
        <v>143</v>
      </c>
      <c r="L29" s="43">
        <f t="shared" si="1"/>
        <v>6172217489</v>
      </c>
      <c r="M29" s="43">
        <f t="shared" si="0"/>
        <v>6172217489</v>
      </c>
      <c r="N29" s="86">
        <f>(697977588+4645071984)-157451069</f>
        <v>5185598503</v>
      </c>
      <c r="O29" s="86">
        <f>829167917+157451069</f>
        <v>986618986</v>
      </c>
      <c r="P29" s="43"/>
      <c r="Q29" s="43"/>
      <c r="R29" s="45" t="s">
        <v>44</v>
      </c>
      <c r="S29" s="45" t="s">
        <v>144</v>
      </c>
      <c r="T29" s="45" t="s">
        <v>35</v>
      </c>
      <c r="U29" s="45" t="s">
        <v>36</v>
      </c>
      <c r="V29" s="45" t="s">
        <v>37</v>
      </c>
      <c r="W29" s="46" t="s">
        <v>101</v>
      </c>
      <c r="X29" s="47" t="s">
        <v>39</v>
      </c>
    </row>
    <row r="30" spans="1:24" ht="85.5" customHeight="1" x14ac:dyDescent="0.25">
      <c r="A30" s="17" t="s">
        <v>139</v>
      </c>
      <c r="B30" s="18" t="s">
        <v>140</v>
      </c>
      <c r="C30" s="19" t="s">
        <v>145</v>
      </c>
      <c r="D30" s="20">
        <v>43924</v>
      </c>
      <c r="E30" s="21" t="s">
        <v>146</v>
      </c>
      <c r="F30" s="21" t="s">
        <v>147</v>
      </c>
      <c r="G30" s="80"/>
      <c r="H30" s="89" t="s">
        <v>30</v>
      </c>
      <c r="I30" s="29" t="s">
        <v>71</v>
      </c>
      <c r="J30" s="29" t="s">
        <v>142</v>
      </c>
      <c r="K30" s="24" t="s">
        <v>143</v>
      </c>
      <c r="L30" s="26">
        <f t="shared" si="1"/>
        <v>5897538948.5238094</v>
      </c>
      <c r="M30" s="26">
        <f t="shared" si="0"/>
        <v>293915118.52380955</v>
      </c>
      <c r="N30" s="26">
        <f>(33237028+221193904)</f>
        <v>254430932</v>
      </c>
      <c r="O30" s="26">
        <v>39484186.523809522</v>
      </c>
      <c r="P30" s="26">
        <v>5603623830</v>
      </c>
      <c r="Q30" s="26"/>
      <c r="R30" s="29"/>
      <c r="S30" s="29" t="s">
        <v>144</v>
      </c>
      <c r="T30" s="29" t="s">
        <v>35</v>
      </c>
      <c r="U30" s="29" t="s">
        <v>36</v>
      </c>
      <c r="V30" s="29" t="s">
        <v>37</v>
      </c>
      <c r="W30" s="30" t="s">
        <v>101</v>
      </c>
      <c r="X30" s="31" t="s">
        <v>39</v>
      </c>
    </row>
    <row r="31" spans="1:24" ht="57" customHeight="1" x14ac:dyDescent="0.25">
      <c r="A31" s="33" t="s">
        <v>139</v>
      </c>
      <c r="B31" s="34">
        <v>92101501</v>
      </c>
      <c r="C31" s="90" t="s">
        <v>148</v>
      </c>
      <c r="D31" s="37"/>
      <c r="E31" s="38"/>
      <c r="F31" s="38"/>
      <c r="G31" s="53">
        <v>12</v>
      </c>
      <c r="H31" s="88" t="s">
        <v>30</v>
      </c>
      <c r="I31" s="41" t="s">
        <v>42</v>
      </c>
      <c r="J31" s="45" t="s">
        <v>149</v>
      </c>
      <c r="K31" s="41" t="s">
        <v>33</v>
      </c>
      <c r="L31" s="43">
        <f t="shared" si="1"/>
        <v>1462289151</v>
      </c>
      <c r="M31" s="43">
        <f t="shared" si="0"/>
        <v>1462289151</v>
      </c>
      <c r="N31" s="86">
        <v>784531275</v>
      </c>
      <c r="O31" s="86">
        <v>677757876</v>
      </c>
      <c r="P31" s="43"/>
      <c r="Q31" s="43"/>
      <c r="R31" s="45" t="s">
        <v>44</v>
      </c>
      <c r="S31" s="45" t="s">
        <v>144</v>
      </c>
      <c r="T31" s="45" t="s">
        <v>35</v>
      </c>
      <c r="U31" s="45" t="s">
        <v>36</v>
      </c>
      <c r="V31" s="45" t="s">
        <v>37</v>
      </c>
      <c r="W31" s="46" t="s">
        <v>53</v>
      </c>
      <c r="X31" s="47" t="s">
        <v>39</v>
      </c>
    </row>
    <row r="32" spans="1:24" ht="42.75" customHeight="1" x14ac:dyDescent="0.25">
      <c r="A32" s="17" t="s">
        <v>139</v>
      </c>
      <c r="B32" s="18">
        <v>92101502</v>
      </c>
      <c r="C32" s="91" t="s">
        <v>150</v>
      </c>
      <c r="D32" s="20">
        <v>43924</v>
      </c>
      <c r="E32" s="21" t="s">
        <v>146</v>
      </c>
      <c r="F32" s="21" t="s">
        <v>147</v>
      </c>
      <c r="G32" s="80"/>
      <c r="H32" s="89" t="s">
        <v>30</v>
      </c>
      <c r="I32" s="91" t="s">
        <v>47</v>
      </c>
      <c r="J32" s="29" t="s">
        <v>149</v>
      </c>
      <c r="K32" s="24" t="s">
        <v>99</v>
      </c>
      <c r="L32" s="26">
        <f t="shared" si="1"/>
        <v>1633358716.1099999</v>
      </c>
      <c r="M32" s="26">
        <f t="shared" si="0"/>
        <v>129767253</v>
      </c>
      <c r="N32" s="26">
        <v>71321025</v>
      </c>
      <c r="O32" s="26">
        <v>58446228</v>
      </c>
      <c r="P32" s="26">
        <v>1503591463.1099999</v>
      </c>
      <c r="Q32" s="26"/>
      <c r="R32" s="29"/>
      <c r="S32" s="29" t="s">
        <v>144</v>
      </c>
      <c r="T32" s="29" t="s">
        <v>35</v>
      </c>
      <c r="U32" s="29" t="s">
        <v>36</v>
      </c>
      <c r="V32" s="29" t="s">
        <v>37</v>
      </c>
      <c r="W32" s="30" t="s">
        <v>151</v>
      </c>
      <c r="X32" s="31" t="s">
        <v>39</v>
      </c>
    </row>
    <row r="33" spans="1:24" s="6" customFormat="1" ht="42.75" customHeight="1" x14ac:dyDescent="0.25">
      <c r="A33" s="33" t="s">
        <v>152</v>
      </c>
      <c r="B33" s="34">
        <v>81112006</v>
      </c>
      <c r="C33" s="35" t="s">
        <v>153</v>
      </c>
      <c r="D33" s="37"/>
      <c r="E33" s="38"/>
      <c r="F33" s="38"/>
      <c r="G33" s="53"/>
      <c r="H33" s="40"/>
      <c r="I33" s="41" t="s">
        <v>42</v>
      </c>
      <c r="J33" s="41" t="s">
        <v>154</v>
      </c>
      <c r="K33" s="92" t="s">
        <v>33</v>
      </c>
      <c r="L33" s="43">
        <f t="shared" si="1"/>
        <v>911090463</v>
      </c>
      <c r="M33" s="43">
        <f t="shared" si="0"/>
        <v>911090463</v>
      </c>
      <c r="N33" s="43">
        <f>ROUND((618909239+297032146)*0.65,0)-3153099</f>
        <v>592208801</v>
      </c>
      <c r="O33" s="43">
        <f>ROUND((618909239+297032146)*0.35,0)-1697823</f>
        <v>318881662</v>
      </c>
      <c r="P33" s="43"/>
      <c r="Q33" s="43"/>
      <c r="R33" s="45" t="s">
        <v>44</v>
      </c>
      <c r="S33" s="45" t="s">
        <v>155</v>
      </c>
      <c r="T33" s="45" t="s">
        <v>156</v>
      </c>
      <c r="U33" s="45" t="s">
        <v>36</v>
      </c>
      <c r="V33" s="45" t="s">
        <v>37</v>
      </c>
      <c r="W33" s="46" t="s">
        <v>157</v>
      </c>
      <c r="X33" s="93" t="s">
        <v>39</v>
      </c>
    </row>
    <row r="34" spans="1:24" s="6" customFormat="1" ht="57" customHeight="1" x14ac:dyDescent="0.25">
      <c r="A34" s="17" t="s">
        <v>152</v>
      </c>
      <c r="B34" s="18">
        <v>81112006</v>
      </c>
      <c r="C34" s="94" t="s">
        <v>158</v>
      </c>
      <c r="D34" s="54">
        <v>43921</v>
      </c>
      <c r="E34" s="95" t="s">
        <v>59</v>
      </c>
      <c r="F34" s="95" t="s">
        <v>59</v>
      </c>
      <c r="G34" s="80">
        <v>24</v>
      </c>
      <c r="H34" s="23" t="s">
        <v>30</v>
      </c>
      <c r="I34" s="19" t="s">
        <v>159</v>
      </c>
      <c r="J34" s="24" t="s">
        <v>154</v>
      </c>
      <c r="K34" s="96" t="s">
        <v>33</v>
      </c>
      <c r="L34" s="26">
        <f t="shared" si="1"/>
        <v>9005649595</v>
      </c>
      <c r="M34" s="26">
        <f t="shared" si="0"/>
        <v>1830280033</v>
      </c>
      <c r="N34" s="26">
        <f>322818686+866863335</f>
        <v>1189682021</v>
      </c>
      <c r="O34" s="26">
        <f>173825446+466772566</f>
        <v>640598012</v>
      </c>
      <c r="P34" s="26">
        <v>4604515227</v>
      </c>
      <c r="Q34" s="26">
        <v>2570854335</v>
      </c>
      <c r="R34" s="29"/>
      <c r="S34" s="29" t="s">
        <v>155</v>
      </c>
      <c r="T34" s="29" t="s">
        <v>156</v>
      </c>
      <c r="U34" s="29" t="s">
        <v>36</v>
      </c>
      <c r="V34" s="29" t="s">
        <v>37</v>
      </c>
      <c r="W34" s="30" t="s">
        <v>157</v>
      </c>
      <c r="X34" s="84" t="s">
        <v>39</v>
      </c>
    </row>
    <row r="35" spans="1:24" s="6" customFormat="1" ht="42.75" customHeight="1" x14ac:dyDescent="0.25">
      <c r="A35" s="33" t="s">
        <v>152</v>
      </c>
      <c r="B35" s="34">
        <v>81112006</v>
      </c>
      <c r="C35" s="35" t="s">
        <v>160</v>
      </c>
      <c r="D35" s="37"/>
      <c r="E35" s="38"/>
      <c r="F35" s="38"/>
      <c r="G35" s="53"/>
      <c r="H35" s="40"/>
      <c r="I35" s="41" t="s">
        <v>42</v>
      </c>
      <c r="J35" s="41" t="s">
        <v>154</v>
      </c>
      <c r="K35" s="92" t="s">
        <v>33</v>
      </c>
      <c r="L35" s="43">
        <f t="shared" si="1"/>
        <v>487894288</v>
      </c>
      <c r="M35" s="43">
        <f t="shared" si="0"/>
        <v>487894288</v>
      </c>
      <c r="N35" s="43">
        <f>+ROUND((487894288)*0.65,0)</f>
        <v>317131287</v>
      </c>
      <c r="O35" s="43">
        <f>+ROUND((487894288)*0.35,0)</f>
        <v>170763001</v>
      </c>
      <c r="P35" s="43"/>
      <c r="Q35" s="43"/>
      <c r="R35" s="45" t="s">
        <v>44</v>
      </c>
      <c r="S35" s="45" t="s">
        <v>155</v>
      </c>
      <c r="T35" s="45" t="s">
        <v>156</v>
      </c>
      <c r="U35" s="45" t="s">
        <v>36</v>
      </c>
      <c r="V35" s="45" t="s">
        <v>37</v>
      </c>
      <c r="W35" s="46" t="s">
        <v>157</v>
      </c>
      <c r="X35" s="93" t="s">
        <v>39</v>
      </c>
    </row>
    <row r="36" spans="1:24" s="6" customFormat="1" ht="42.75" customHeight="1" x14ac:dyDescent="0.25">
      <c r="A36" s="17" t="s">
        <v>152</v>
      </c>
      <c r="B36" s="18">
        <v>81112006</v>
      </c>
      <c r="C36" s="19" t="s">
        <v>161</v>
      </c>
      <c r="D36" s="20">
        <v>44043</v>
      </c>
      <c r="E36" s="21"/>
      <c r="F36" s="21"/>
      <c r="G36" s="80"/>
      <c r="H36" s="23"/>
      <c r="I36" s="24" t="s">
        <v>115</v>
      </c>
      <c r="J36" s="24" t="s">
        <v>154</v>
      </c>
      <c r="K36" s="96" t="s">
        <v>33</v>
      </c>
      <c r="L36" s="26">
        <f>+M36+P36+Q36</f>
        <v>267400000</v>
      </c>
      <c r="M36" s="26">
        <f t="shared" si="0"/>
        <v>267400000</v>
      </c>
      <c r="N36" s="26">
        <v>80220000</v>
      </c>
      <c r="O36" s="26">
        <v>187180000</v>
      </c>
      <c r="P36" s="26"/>
      <c r="Q36" s="26"/>
      <c r="R36" s="29"/>
      <c r="S36" s="29" t="s">
        <v>155</v>
      </c>
      <c r="T36" s="29" t="s">
        <v>156</v>
      </c>
      <c r="U36" s="29" t="s">
        <v>36</v>
      </c>
      <c r="V36" s="29" t="s">
        <v>37</v>
      </c>
      <c r="W36" s="30" t="s">
        <v>157</v>
      </c>
      <c r="X36" s="84" t="s">
        <v>39</v>
      </c>
    </row>
    <row r="37" spans="1:24" s="6" customFormat="1" ht="60" customHeight="1" x14ac:dyDescent="0.25">
      <c r="A37" s="17" t="s">
        <v>152</v>
      </c>
      <c r="B37" s="18">
        <v>81112006</v>
      </c>
      <c r="C37" s="97" t="s">
        <v>162</v>
      </c>
      <c r="D37" s="20">
        <v>44071</v>
      </c>
      <c r="E37" s="21" t="s">
        <v>147</v>
      </c>
      <c r="F37" s="21" t="s">
        <v>147</v>
      </c>
      <c r="G37" s="80">
        <v>20</v>
      </c>
      <c r="H37" s="23" t="s">
        <v>30</v>
      </c>
      <c r="I37" s="98" t="s">
        <v>159</v>
      </c>
      <c r="J37" s="24" t="s">
        <v>154</v>
      </c>
      <c r="K37" s="96" t="s">
        <v>33</v>
      </c>
      <c r="L37" s="26">
        <f t="shared" si="1"/>
        <v>1333634610</v>
      </c>
      <c r="M37" s="26">
        <f t="shared" si="0"/>
        <v>130000000</v>
      </c>
      <c r="N37" s="82">
        <v>39000000</v>
      </c>
      <c r="O37" s="82">
        <v>91000000</v>
      </c>
      <c r="P37" s="26">
        <v>760190280</v>
      </c>
      <c r="Q37" s="26">
        <v>443444330</v>
      </c>
      <c r="R37" s="29"/>
      <c r="S37" s="29" t="s">
        <v>155</v>
      </c>
      <c r="T37" s="29" t="s">
        <v>156</v>
      </c>
      <c r="U37" s="29" t="s">
        <v>36</v>
      </c>
      <c r="V37" s="29" t="s">
        <v>37</v>
      </c>
      <c r="W37" s="30" t="s">
        <v>157</v>
      </c>
      <c r="X37" s="84" t="s">
        <v>39</v>
      </c>
    </row>
    <row r="38" spans="1:24" s="6" customFormat="1" ht="57" customHeight="1" x14ac:dyDescent="0.25">
      <c r="A38" s="56" t="s">
        <v>152</v>
      </c>
      <c r="B38" s="99">
        <v>43211500</v>
      </c>
      <c r="C38" s="78" t="s">
        <v>163</v>
      </c>
      <c r="D38" s="59">
        <v>43875</v>
      </c>
      <c r="E38" s="60" t="s">
        <v>58</v>
      </c>
      <c r="F38" s="61" t="s">
        <v>59</v>
      </c>
      <c r="G38" s="62">
        <v>45</v>
      </c>
      <c r="H38" s="63" t="s">
        <v>164</v>
      </c>
      <c r="I38" s="58" t="s">
        <v>159</v>
      </c>
      <c r="J38" s="71" t="s">
        <v>165</v>
      </c>
      <c r="K38" s="71" t="s">
        <v>33</v>
      </c>
      <c r="L38" s="66">
        <f>+M38+P38+Q38</f>
        <v>425000000</v>
      </c>
      <c r="M38" s="66">
        <f t="shared" si="0"/>
        <v>425000000</v>
      </c>
      <c r="N38" s="100">
        <v>276250000</v>
      </c>
      <c r="O38" s="66">
        <v>148750000</v>
      </c>
      <c r="P38" s="101"/>
      <c r="Q38" s="101"/>
      <c r="R38" s="60" t="s">
        <v>62</v>
      </c>
      <c r="S38" s="60" t="s">
        <v>166</v>
      </c>
      <c r="T38" s="60" t="s">
        <v>156</v>
      </c>
      <c r="U38" s="60" t="s">
        <v>36</v>
      </c>
      <c r="V38" s="60" t="s">
        <v>37</v>
      </c>
      <c r="W38" s="68" t="s">
        <v>157</v>
      </c>
      <c r="X38" s="102" t="s">
        <v>39</v>
      </c>
    </row>
    <row r="39" spans="1:24" s="6" customFormat="1" ht="57" customHeight="1" x14ac:dyDescent="0.25">
      <c r="A39" s="56" t="s">
        <v>152</v>
      </c>
      <c r="B39" s="99">
        <v>43211500</v>
      </c>
      <c r="C39" s="78" t="s">
        <v>167</v>
      </c>
      <c r="D39" s="59">
        <v>43875</v>
      </c>
      <c r="E39" s="60" t="s">
        <v>58</v>
      </c>
      <c r="F39" s="61" t="s">
        <v>59</v>
      </c>
      <c r="G39" s="62">
        <v>45</v>
      </c>
      <c r="H39" s="63" t="s">
        <v>164</v>
      </c>
      <c r="I39" s="58" t="s">
        <v>159</v>
      </c>
      <c r="J39" s="71" t="s">
        <v>165</v>
      </c>
      <c r="K39" s="71" t="s">
        <v>33</v>
      </c>
      <c r="L39" s="66">
        <f t="shared" si="1"/>
        <v>53000000</v>
      </c>
      <c r="M39" s="66">
        <f t="shared" si="0"/>
        <v>53000000</v>
      </c>
      <c r="N39" s="100">
        <v>34450000</v>
      </c>
      <c r="O39" s="66">
        <v>18550000</v>
      </c>
      <c r="P39" s="72"/>
      <c r="Q39" s="101"/>
      <c r="R39" s="60" t="s">
        <v>62</v>
      </c>
      <c r="S39" s="60" t="s">
        <v>166</v>
      </c>
      <c r="T39" s="60" t="s">
        <v>156</v>
      </c>
      <c r="U39" s="60" t="s">
        <v>36</v>
      </c>
      <c r="V39" s="60" t="s">
        <v>37</v>
      </c>
      <c r="W39" s="68" t="s">
        <v>157</v>
      </c>
      <c r="X39" s="102" t="s">
        <v>39</v>
      </c>
    </row>
    <row r="40" spans="1:24" s="6" customFormat="1" ht="57" customHeight="1" x14ac:dyDescent="0.25">
      <c r="A40" s="56" t="s">
        <v>152</v>
      </c>
      <c r="B40" s="99">
        <v>43211500</v>
      </c>
      <c r="C40" s="78" t="s">
        <v>168</v>
      </c>
      <c r="D40" s="59">
        <v>43875</v>
      </c>
      <c r="E40" s="60" t="s">
        <v>58</v>
      </c>
      <c r="F40" s="61" t="s">
        <v>59</v>
      </c>
      <c r="G40" s="62">
        <v>45</v>
      </c>
      <c r="H40" s="63" t="s">
        <v>164</v>
      </c>
      <c r="I40" s="58" t="s">
        <v>159</v>
      </c>
      <c r="J40" s="71" t="s">
        <v>165</v>
      </c>
      <c r="K40" s="71" t="s">
        <v>33</v>
      </c>
      <c r="L40" s="66">
        <f t="shared" si="1"/>
        <v>230000000</v>
      </c>
      <c r="M40" s="66">
        <f t="shared" si="0"/>
        <v>230000000</v>
      </c>
      <c r="N40" s="100">
        <v>149500000</v>
      </c>
      <c r="O40" s="66">
        <v>80500000</v>
      </c>
      <c r="P40" s="72"/>
      <c r="Q40" s="101"/>
      <c r="R40" s="60" t="s">
        <v>62</v>
      </c>
      <c r="S40" s="60" t="s">
        <v>166</v>
      </c>
      <c r="T40" s="60" t="s">
        <v>156</v>
      </c>
      <c r="U40" s="60" t="s">
        <v>36</v>
      </c>
      <c r="V40" s="60" t="s">
        <v>37</v>
      </c>
      <c r="W40" s="68" t="s">
        <v>157</v>
      </c>
      <c r="X40" s="102" t="s">
        <v>39</v>
      </c>
    </row>
    <row r="41" spans="1:24" s="6" customFormat="1" ht="57" customHeight="1" x14ac:dyDescent="0.25">
      <c r="A41" s="56" t="s">
        <v>152</v>
      </c>
      <c r="B41" s="99">
        <v>43211711</v>
      </c>
      <c r="C41" s="78" t="s">
        <v>169</v>
      </c>
      <c r="D41" s="103">
        <v>43889</v>
      </c>
      <c r="E41" s="104" t="s">
        <v>58</v>
      </c>
      <c r="F41" s="105" t="s">
        <v>59</v>
      </c>
      <c r="G41" s="106">
        <v>45</v>
      </c>
      <c r="H41" s="63" t="s">
        <v>164</v>
      </c>
      <c r="I41" s="58" t="s">
        <v>159</v>
      </c>
      <c r="J41" s="71" t="s">
        <v>165</v>
      </c>
      <c r="K41" s="71" t="s">
        <v>33</v>
      </c>
      <c r="L41" s="66">
        <f t="shared" si="1"/>
        <v>40000000</v>
      </c>
      <c r="M41" s="66">
        <f t="shared" si="0"/>
        <v>40000000</v>
      </c>
      <c r="N41" s="107">
        <v>26000000</v>
      </c>
      <c r="O41" s="66">
        <v>14000000</v>
      </c>
      <c r="P41" s="101"/>
      <c r="Q41" s="101"/>
      <c r="R41" s="60" t="s">
        <v>62</v>
      </c>
      <c r="S41" s="60" t="s">
        <v>166</v>
      </c>
      <c r="T41" s="60" t="s">
        <v>156</v>
      </c>
      <c r="U41" s="60" t="s">
        <v>36</v>
      </c>
      <c r="V41" s="60" t="s">
        <v>37</v>
      </c>
      <c r="W41" s="68" t="s">
        <v>157</v>
      </c>
      <c r="X41" s="102" t="s">
        <v>39</v>
      </c>
    </row>
    <row r="42" spans="1:24" s="6" customFormat="1" ht="57" customHeight="1" x14ac:dyDescent="0.25">
      <c r="A42" s="56" t="s">
        <v>152</v>
      </c>
      <c r="B42" s="99">
        <v>43212105</v>
      </c>
      <c r="C42" s="78" t="s">
        <v>170</v>
      </c>
      <c r="D42" s="103">
        <v>43889</v>
      </c>
      <c r="E42" s="104" t="s">
        <v>58</v>
      </c>
      <c r="F42" s="105" t="s">
        <v>59</v>
      </c>
      <c r="G42" s="106">
        <v>45</v>
      </c>
      <c r="H42" s="63" t="s">
        <v>164</v>
      </c>
      <c r="I42" s="58" t="s">
        <v>159</v>
      </c>
      <c r="J42" s="71" t="s">
        <v>165</v>
      </c>
      <c r="K42" s="71" t="s">
        <v>33</v>
      </c>
      <c r="L42" s="66">
        <f t="shared" si="1"/>
        <v>786000000</v>
      </c>
      <c r="M42" s="66">
        <f t="shared" si="0"/>
        <v>786000000</v>
      </c>
      <c r="N42" s="107">
        <v>510900000</v>
      </c>
      <c r="O42" s="66">
        <v>275100000</v>
      </c>
      <c r="P42" s="101"/>
      <c r="Q42" s="101"/>
      <c r="R42" s="60" t="s">
        <v>62</v>
      </c>
      <c r="S42" s="60" t="s">
        <v>166</v>
      </c>
      <c r="T42" s="60" t="s">
        <v>156</v>
      </c>
      <c r="U42" s="60" t="s">
        <v>36</v>
      </c>
      <c r="V42" s="60" t="s">
        <v>37</v>
      </c>
      <c r="W42" s="68" t="s">
        <v>157</v>
      </c>
      <c r="X42" s="102" t="s">
        <v>39</v>
      </c>
    </row>
    <row r="43" spans="1:24" s="6" customFormat="1" ht="42.75" customHeight="1" x14ac:dyDescent="0.25">
      <c r="A43" s="17" t="s">
        <v>152</v>
      </c>
      <c r="B43" s="108">
        <v>81112006</v>
      </c>
      <c r="C43" s="19" t="s">
        <v>171</v>
      </c>
      <c r="D43" s="20">
        <v>44012</v>
      </c>
      <c r="E43" s="109" t="s">
        <v>172</v>
      </c>
      <c r="F43" s="110" t="s">
        <v>146</v>
      </c>
      <c r="G43" s="111">
        <v>140</v>
      </c>
      <c r="H43" s="23" t="s">
        <v>25</v>
      </c>
      <c r="I43" s="19" t="s">
        <v>71</v>
      </c>
      <c r="J43" s="24" t="s">
        <v>173</v>
      </c>
      <c r="K43" s="24" t="s">
        <v>33</v>
      </c>
      <c r="L43" s="26">
        <f t="shared" si="1"/>
        <v>377878572</v>
      </c>
      <c r="M43" s="26">
        <f t="shared" si="0"/>
        <v>377878572</v>
      </c>
      <c r="N43" s="26">
        <v>113363572</v>
      </c>
      <c r="O43" s="26">
        <v>264515000</v>
      </c>
      <c r="P43" s="112"/>
      <c r="Q43" s="112"/>
      <c r="R43" s="29"/>
      <c r="S43" s="29" t="s">
        <v>174</v>
      </c>
      <c r="T43" s="29" t="s">
        <v>156</v>
      </c>
      <c r="U43" s="29" t="s">
        <v>36</v>
      </c>
      <c r="V43" s="29" t="s">
        <v>37</v>
      </c>
      <c r="W43" s="30" t="s">
        <v>157</v>
      </c>
      <c r="X43" s="84" t="s">
        <v>39</v>
      </c>
    </row>
    <row r="44" spans="1:24" s="6" customFormat="1" ht="57" customHeight="1" x14ac:dyDescent="0.25">
      <c r="A44" s="56" t="s">
        <v>152</v>
      </c>
      <c r="B44" s="99">
        <v>45121504</v>
      </c>
      <c r="C44" s="78" t="s">
        <v>175</v>
      </c>
      <c r="D44" s="103">
        <v>43951</v>
      </c>
      <c r="E44" s="104" t="s">
        <v>58</v>
      </c>
      <c r="F44" s="105" t="s">
        <v>59</v>
      </c>
      <c r="G44" s="106">
        <v>45</v>
      </c>
      <c r="H44" s="63" t="s">
        <v>164</v>
      </c>
      <c r="I44" s="58" t="s">
        <v>176</v>
      </c>
      <c r="J44" s="71" t="s">
        <v>165</v>
      </c>
      <c r="K44" s="71" t="s">
        <v>33</v>
      </c>
      <c r="L44" s="66">
        <f t="shared" si="1"/>
        <v>198000000</v>
      </c>
      <c r="M44" s="66">
        <f t="shared" si="0"/>
        <v>198000000</v>
      </c>
      <c r="N44" s="107">
        <v>128700000</v>
      </c>
      <c r="O44" s="66">
        <v>69300000</v>
      </c>
      <c r="P44" s="101"/>
      <c r="Q44" s="101"/>
      <c r="R44" s="60" t="s">
        <v>62</v>
      </c>
      <c r="S44" s="60" t="s">
        <v>177</v>
      </c>
      <c r="T44" s="60" t="s">
        <v>156</v>
      </c>
      <c r="U44" s="60" t="s">
        <v>36</v>
      </c>
      <c r="V44" s="60" t="s">
        <v>37</v>
      </c>
      <c r="W44" s="68" t="s">
        <v>157</v>
      </c>
      <c r="X44" s="102" t="s">
        <v>39</v>
      </c>
    </row>
    <row r="45" spans="1:24" s="6" customFormat="1" ht="57" customHeight="1" x14ac:dyDescent="0.25">
      <c r="A45" s="17" t="s">
        <v>152</v>
      </c>
      <c r="B45" s="18">
        <v>43211902</v>
      </c>
      <c r="C45" s="113" t="s">
        <v>178</v>
      </c>
      <c r="D45" s="20">
        <v>44012</v>
      </c>
      <c r="E45" s="109" t="s">
        <v>172</v>
      </c>
      <c r="F45" s="110" t="s">
        <v>146</v>
      </c>
      <c r="G45" s="111">
        <v>60</v>
      </c>
      <c r="H45" s="23" t="s">
        <v>164</v>
      </c>
      <c r="I45" s="115" t="s">
        <v>176</v>
      </c>
      <c r="J45" s="24" t="s">
        <v>165</v>
      </c>
      <c r="K45" s="24" t="s">
        <v>33</v>
      </c>
      <c r="L45" s="26">
        <f t="shared" si="1"/>
        <v>81730000</v>
      </c>
      <c r="M45" s="26">
        <f t="shared" si="0"/>
        <v>81730000</v>
      </c>
      <c r="N45" s="116">
        <v>24519000</v>
      </c>
      <c r="O45" s="82">
        <v>57211000</v>
      </c>
      <c r="P45" s="112"/>
      <c r="Q45" s="112"/>
      <c r="R45" s="29"/>
      <c r="S45" s="29" t="s">
        <v>174</v>
      </c>
      <c r="T45" s="29" t="s">
        <v>156</v>
      </c>
      <c r="U45" s="29" t="s">
        <v>36</v>
      </c>
      <c r="V45" s="29" t="s">
        <v>37</v>
      </c>
      <c r="W45" s="30" t="s">
        <v>157</v>
      </c>
      <c r="X45" s="84" t="s">
        <v>39</v>
      </c>
    </row>
    <row r="46" spans="1:24" s="119" customFormat="1" ht="128" customHeight="1" x14ac:dyDescent="0.25">
      <c r="A46" s="56" t="s">
        <v>152</v>
      </c>
      <c r="B46" s="57">
        <v>43223306</v>
      </c>
      <c r="C46" s="78" t="s">
        <v>179</v>
      </c>
      <c r="D46" s="103">
        <v>44012</v>
      </c>
      <c r="E46" s="104" t="s">
        <v>172</v>
      </c>
      <c r="F46" s="105" t="s">
        <v>146</v>
      </c>
      <c r="G46" s="117">
        <v>4</v>
      </c>
      <c r="H46" s="118" t="s">
        <v>30</v>
      </c>
      <c r="I46" s="58" t="s">
        <v>180</v>
      </c>
      <c r="J46" s="71" t="s">
        <v>165</v>
      </c>
      <c r="K46" s="71" t="s">
        <v>33</v>
      </c>
      <c r="L46" s="66">
        <f t="shared" si="1"/>
        <v>2420279669</v>
      </c>
      <c r="M46" s="66">
        <f t="shared" si="0"/>
        <v>2420279669</v>
      </c>
      <c r="N46" s="100">
        <v>726083901</v>
      </c>
      <c r="O46" s="66">
        <v>1694195768</v>
      </c>
      <c r="P46" s="66"/>
      <c r="Q46" s="66"/>
      <c r="R46" s="60" t="s">
        <v>62</v>
      </c>
      <c r="S46" s="60" t="s">
        <v>181</v>
      </c>
      <c r="T46" s="60" t="s">
        <v>156</v>
      </c>
      <c r="U46" s="60" t="s">
        <v>36</v>
      </c>
      <c r="V46" s="60" t="s">
        <v>37</v>
      </c>
      <c r="W46" s="68" t="s">
        <v>157</v>
      </c>
      <c r="X46" s="102" t="s">
        <v>39</v>
      </c>
    </row>
    <row r="47" spans="1:24" s="6" customFormat="1" ht="57" customHeight="1" x14ac:dyDescent="0.25">
      <c r="A47" s="17" t="s">
        <v>152</v>
      </c>
      <c r="B47" s="18">
        <v>81112501</v>
      </c>
      <c r="C47" s="114" t="s">
        <v>182</v>
      </c>
      <c r="D47" s="54">
        <v>44012</v>
      </c>
      <c r="E47" s="55" t="s">
        <v>172</v>
      </c>
      <c r="F47" s="120" t="s">
        <v>46</v>
      </c>
      <c r="G47" s="18">
        <v>12</v>
      </c>
      <c r="H47" s="23" t="s">
        <v>30</v>
      </c>
      <c r="I47" s="19" t="s">
        <v>159</v>
      </c>
      <c r="J47" s="24" t="s">
        <v>183</v>
      </c>
      <c r="K47" s="24" t="s">
        <v>33</v>
      </c>
      <c r="L47" s="26">
        <f t="shared" si="1"/>
        <v>964997181</v>
      </c>
      <c r="M47" s="26">
        <f t="shared" si="0"/>
        <v>964997181</v>
      </c>
      <c r="N47" s="26">
        <v>289499154</v>
      </c>
      <c r="O47" s="26">
        <v>675498027</v>
      </c>
      <c r="P47" s="26"/>
      <c r="Q47" s="26"/>
      <c r="R47" s="29"/>
      <c r="S47" s="29" t="s">
        <v>184</v>
      </c>
      <c r="T47" s="29" t="s">
        <v>156</v>
      </c>
      <c r="U47" s="29" t="s">
        <v>36</v>
      </c>
      <c r="V47" s="29" t="s">
        <v>37</v>
      </c>
      <c r="W47" s="30" t="s">
        <v>157</v>
      </c>
      <c r="X47" s="84" t="s">
        <v>39</v>
      </c>
    </row>
    <row r="48" spans="1:24" s="6" customFormat="1" ht="57" customHeight="1" x14ac:dyDescent="0.25">
      <c r="A48" s="17" t="s">
        <v>152</v>
      </c>
      <c r="B48" s="18">
        <v>81112501</v>
      </c>
      <c r="C48" s="114" t="s">
        <v>185</v>
      </c>
      <c r="D48" s="54">
        <v>44012</v>
      </c>
      <c r="E48" s="120" t="s">
        <v>29</v>
      </c>
      <c r="F48" s="120" t="s">
        <v>172</v>
      </c>
      <c r="G48" s="18">
        <v>12</v>
      </c>
      <c r="H48" s="23" t="s">
        <v>30</v>
      </c>
      <c r="I48" s="19" t="s">
        <v>176</v>
      </c>
      <c r="J48" s="24" t="s">
        <v>183</v>
      </c>
      <c r="K48" s="24" t="s">
        <v>33</v>
      </c>
      <c r="L48" s="26">
        <f t="shared" si="1"/>
        <v>246128127</v>
      </c>
      <c r="M48" s="26">
        <f t="shared" si="0"/>
        <v>246128127</v>
      </c>
      <c r="N48" s="121">
        <v>73838438</v>
      </c>
      <c r="O48" s="116">
        <v>172289689</v>
      </c>
      <c r="P48" s="26"/>
      <c r="Q48" s="26"/>
      <c r="R48" s="29"/>
      <c r="S48" s="29" t="s">
        <v>184</v>
      </c>
      <c r="T48" s="29" t="s">
        <v>156</v>
      </c>
      <c r="U48" s="29" t="s">
        <v>36</v>
      </c>
      <c r="V48" s="29" t="s">
        <v>37</v>
      </c>
      <c r="W48" s="30" t="s">
        <v>157</v>
      </c>
      <c r="X48" s="84" t="s">
        <v>39</v>
      </c>
    </row>
    <row r="49" spans="1:24" s="6" customFormat="1" ht="57" customHeight="1" x14ac:dyDescent="0.25">
      <c r="A49" s="17" t="s">
        <v>152</v>
      </c>
      <c r="B49" s="18">
        <v>81112501</v>
      </c>
      <c r="C49" s="114" t="s">
        <v>186</v>
      </c>
      <c r="D49" s="20">
        <v>44048</v>
      </c>
      <c r="E49" s="109" t="s">
        <v>147</v>
      </c>
      <c r="F49" s="55" t="s">
        <v>187</v>
      </c>
      <c r="G49" s="18">
        <v>12</v>
      </c>
      <c r="H49" s="23" t="s">
        <v>30</v>
      </c>
      <c r="I49" s="19" t="s">
        <v>176</v>
      </c>
      <c r="J49" s="24" t="s">
        <v>183</v>
      </c>
      <c r="K49" s="24" t="s">
        <v>33</v>
      </c>
      <c r="L49" s="26">
        <f t="shared" si="1"/>
        <v>247501759</v>
      </c>
      <c r="M49" s="26">
        <f t="shared" si="0"/>
        <v>247501759</v>
      </c>
      <c r="N49" s="26">
        <v>74250528</v>
      </c>
      <c r="O49" s="96">
        <v>173251231</v>
      </c>
      <c r="P49" s="26"/>
      <c r="Q49" s="26"/>
      <c r="R49" s="29"/>
      <c r="S49" s="29" t="s">
        <v>184</v>
      </c>
      <c r="T49" s="29" t="s">
        <v>156</v>
      </c>
      <c r="U49" s="29" t="s">
        <v>36</v>
      </c>
      <c r="V49" s="29" t="s">
        <v>37</v>
      </c>
      <c r="W49" s="30" t="s">
        <v>157</v>
      </c>
      <c r="X49" s="84" t="s">
        <v>39</v>
      </c>
    </row>
    <row r="50" spans="1:24" s="6" customFormat="1" ht="57" customHeight="1" x14ac:dyDescent="0.25">
      <c r="A50" s="17" t="s">
        <v>152</v>
      </c>
      <c r="B50" s="18">
        <v>81112501</v>
      </c>
      <c r="C50" s="114" t="s">
        <v>188</v>
      </c>
      <c r="D50" s="20">
        <v>44048</v>
      </c>
      <c r="E50" s="109" t="s">
        <v>147</v>
      </c>
      <c r="F50" s="55" t="s">
        <v>187</v>
      </c>
      <c r="G50" s="18">
        <v>12</v>
      </c>
      <c r="H50" s="23" t="s">
        <v>30</v>
      </c>
      <c r="I50" s="19" t="s">
        <v>176</v>
      </c>
      <c r="J50" s="24" t="s">
        <v>183</v>
      </c>
      <c r="K50" s="24" t="s">
        <v>33</v>
      </c>
      <c r="L50" s="26">
        <f t="shared" si="1"/>
        <v>79021759</v>
      </c>
      <c r="M50" s="26">
        <f t="shared" si="0"/>
        <v>79021759</v>
      </c>
      <c r="N50" s="82">
        <v>23706528</v>
      </c>
      <c r="O50" s="122">
        <v>55315231</v>
      </c>
      <c r="P50" s="26"/>
      <c r="Q50" s="26"/>
      <c r="R50" s="29"/>
      <c r="S50" s="29" t="s">
        <v>184</v>
      </c>
      <c r="T50" s="29" t="s">
        <v>156</v>
      </c>
      <c r="U50" s="29" t="s">
        <v>36</v>
      </c>
      <c r="V50" s="29" t="s">
        <v>37</v>
      </c>
      <c r="W50" s="30" t="s">
        <v>157</v>
      </c>
      <c r="X50" s="84" t="s">
        <v>39</v>
      </c>
    </row>
    <row r="51" spans="1:24" s="6" customFormat="1" ht="57" customHeight="1" x14ac:dyDescent="0.25">
      <c r="A51" s="17" t="s">
        <v>152</v>
      </c>
      <c r="B51" s="18">
        <v>81112501</v>
      </c>
      <c r="C51" s="114" t="s">
        <v>189</v>
      </c>
      <c r="D51" s="20">
        <v>43987</v>
      </c>
      <c r="E51" s="109" t="s">
        <v>172</v>
      </c>
      <c r="F51" s="110" t="s">
        <v>146</v>
      </c>
      <c r="G51" s="18">
        <v>12</v>
      </c>
      <c r="H51" s="23" t="s">
        <v>30</v>
      </c>
      <c r="I51" s="19" t="s">
        <v>159</v>
      </c>
      <c r="J51" s="24" t="s">
        <v>183</v>
      </c>
      <c r="K51" s="24" t="s">
        <v>33</v>
      </c>
      <c r="L51" s="26">
        <f t="shared" si="1"/>
        <v>115697884</v>
      </c>
      <c r="M51" s="26">
        <f t="shared" si="0"/>
        <v>115697884</v>
      </c>
      <c r="N51" s="82">
        <v>34709365</v>
      </c>
      <c r="O51" s="122">
        <v>80988519</v>
      </c>
      <c r="P51" s="26"/>
      <c r="Q51" s="26"/>
      <c r="R51" s="29"/>
      <c r="S51" s="29" t="s">
        <v>174</v>
      </c>
      <c r="T51" s="29" t="s">
        <v>156</v>
      </c>
      <c r="U51" s="29" t="s">
        <v>36</v>
      </c>
      <c r="V51" s="29" t="s">
        <v>37</v>
      </c>
      <c r="W51" s="30" t="s">
        <v>157</v>
      </c>
      <c r="X51" s="84" t="s">
        <v>39</v>
      </c>
    </row>
    <row r="52" spans="1:24" s="6" customFormat="1" ht="57" customHeight="1" x14ac:dyDescent="0.25">
      <c r="A52" s="33" t="s">
        <v>152</v>
      </c>
      <c r="B52" s="34">
        <v>81112501</v>
      </c>
      <c r="C52" s="87" t="s">
        <v>190</v>
      </c>
      <c r="D52" s="123">
        <v>43830</v>
      </c>
      <c r="E52" s="124" t="s">
        <v>137</v>
      </c>
      <c r="F52" s="124" t="s">
        <v>69</v>
      </c>
      <c r="G52" s="34">
        <v>12</v>
      </c>
      <c r="H52" s="40" t="s">
        <v>30</v>
      </c>
      <c r="I52" s="35" t="s">
        <v>31</v>
      </c>
      <c r="J52" s="41" t="s">
        <v>183</v>
      </c>
      <c r="K52" s="41" t="s">
        <v>33</v>
      </c>
      <c r="L52" s="43">
        <f t="shared" si="1"/>
        <v>46581360</v>
      </c>
      <c r="M52" s="43">
        <f t="shared" si="0"/>
        <v>46581360</v>
      </c>
      <c r="N52" s="125">
        <f>30290000-12116</f>
        <v>30277884</v>
      </c>
      <c r="O52" s="126">
        <f>16310000-6524</f>
        <v>16303476</v>
      </c>
      <c r="P52" s="43"/>
      <c r="Q52" s="43"/>
      <c r="R52" s="45" t="s">
        <v>44</v>
      </c>
      <c r="S52" s="45" t="s">
        <v>191</v>
      </c>
      <c r="T52" s="45" t="s">
        <v>156</v>
      </c>
      <c r="U52" s="45" t="s">
        <v>36</v>
      </c>
      <c r="V52" s="45" t="s">
        <v>37</v>
      </c>
      <c r="W52" s="46" t="s">
        <v>157</v>
      </c>
      <c r="X52" s="93" t="s">
        <v>39</v>
      </c>
    </row>
    <row r="53" spans="1:24" s="6" customFormat="1" ht="57" customHeight="1" x14ac:dyDescent="0.25">
      <c r="A53" s="17" t="s">
        <v>152</v>
      </c>
      <c r="B53" s="18">
        <v>81112501</v>
      </c>
      <c r="C53" s="113" t="s">
        <v>192</v>
      </c>
      <c r="D53" s="54"/>
      <c r="E53" s="120"/>
      <c r="F53" s="120"/>
      <c r="G53" s="18"/>
      <c r="H53" s="23"/>
      <c r="I53" s="19"/>
      <c r="J53" s="24" t="s">
        <v>183</v>
      </c>
      <c r="K53" s="24" t="s">
        <v>33</v>
      </c>
      <c r="L53" s="26">
        <f>+M53+P53+Q53</f>
        <v>18640</v>
      </c>
      <c r="M53" s="26">
        <f>+O53+N53</f>
        <v>18640</v>
      </c>
      <c r="N53" s="127">
        <f>30290000-30277884</f>
        <v>12116</v>
      </c>
      <c r="O53" s="122">
        <f>16310000-16303476</f>
        <v>6524</v>
      </c>
      <c r="P53" s="26"/>
      <c r="Q53" s="26"/>
      <c r="R53" s="29"/>
      <c r="S53" s="29"/>
      <c r="T53" s="29"/>
      <c r="U53" s="29"/>
      <c r="V53" s="29"/>
      <c r="W53" s="30"/>
      <c r="X53" s="84"/>
    </row>
    <row r="54" spans="1:24" s="6" customFormat="1" ht="57" customHeight="1" x14ac:dyDescent="0.25">
      <c r="A54" s="17" t="s">
        <v>152</v>
      </c>
      <c r="B54" s="18">
        <v>81112501</v>
      </c>
      <c r="C54" s="114" t="s">
        <v>193</v>
      </c>
      <c r="D54" s="20">
        <v>44048</v>
      </c>
      <c r="E54" s="109" t="s">
        <v>147</v>
      </c>
      <c r="F54" s="55" t="s">
        <v>187</v>
      </c>
      <c r="G54" s="18">
        <v>12</v>
      </c>
      <c r="H54" s="23" t="s">
        <v>30</v>
      </c>
      <c r="I54" s="19" t="s">
        <v>176</v>
      </c>
      <c r="J54" s="24" t="s">
        <v>183</v>
      </c>
      <c r="K54" s="24" t="s">
        <v>33</v>
      </c>
      <c r="L54" s="26">
        <f t="shared" si="1"/>
        <v>161696759</v>
      </c>
      <c r="M54" s="26">
        <f t="shared" si="0"/>
        <v>161696759</v>
      </c>
      <c r="N54" s="121">
        <v>48509028</v>
      </c>
      <c r="O54" s="122">
        <v>113187731</v>
      </c>
      <c r="P54" s="26"/>
      <c r="Q54" s="26"/>
      <c r="R54" s="29"/>
      <c r="S54" s="29" t="s">
        <v>174</v>
      </c>
      <c r="T54" s="29" t="s">
        <v>156</v>
      </c>
      <c r="U54" s="29" t="s">
        <v>36</v>
      </c>
      <c r="V54" s="29" t="s">
        <v>37</v>
      </c>
      <c r="W54" s="30" t="s">
        <v>157</v>
      </c>
      <c r="X54" s="84" t="s">
        <v>39</v>
      </c>
    </row>
    <row r="55" spans="1:24" s="6" customFormat="1" ht="57" customHeight="1" x14ac:dyDescent="0.25">
      <c r="A55" s="17" t="s">
        <v>152</v>
      </c>
      <c r="B55" s="18">
        <v>81112501</v>
      </c>
      <c r="C55" s="114" t="s">
        <v>194</v>
      </c>
      <c r="D55" s="54">
        <v>44012</v>
      </c>
      <c r="E55" s="29" t="s">
        <v>172</v>
      </c>
      <c r="F55" s="55" t="s">
        <v>172</v>
      </c>
      <c r="G55" s="18">
        <v>12</v>
      </c>
      <c r="H55" s="23" t="s">
        <v>30</v>
      </c>
      <c r="I55" s="19" t="s">
        <v>159</v>
      </c>
      <c r="J55" s="24" t="s">
        <v>183</v>
      </c>
      <c r="K55" s="24" t="s">
        <v>33</v>
      </c>
      <c r="L55" s="26">
        <f t="shared" si="1"/>
        <v>537250172</v>
      </c>
      <c r="M55" s="26">
        <f t="shared" si="0"/>
        <v>537250172</v>
      </c>
      <c r="N55" s="82">
        <v>161175052</v>
      </c>
      <c r="O55" s="82">
        <v>376075120</v>
      </c>
      <c r="P55" s="26"/>
      <c r="Q55" s="26"/>
      <c r="R55" s="29"/>
      <c r="S55" s="29" t="s">
        <v>184</v>
      </c>
      <c r="T55" s="29" t="s">
        <v>156</v>
      </c>
      <c r="U55" s="29" t="s">
        <v>36</v>
      </c>
      <c r="V55" s="29" t="s">
        <v>37</v>
      </c>
      <c r="W55" s="30" t="s">
        <v>157</v>
      </c>
      <c r="X55" s="84" t="s">
        <v>39</v>
      </c>
    </row>
    <row r="56" spans="1:24" s="6" customFormat="1" ht="57" customHeight="1" x14ac:dyDescent="0.25">
      <c r="A56" s="17" t="s">
        <v>152</v>
      </c>
      <c r="B56" s="18">
        <v>81112501</v>
      </c>
      <c r="C56" s="19" t="s">
        <v>195</v>
      </c>
      <c r="D56" s="54">
        <v>44012</v>
      </c>
      <c r="E56" s="29" t="s">
        <v>172</v>
      </c>
      <c r="F56" s="29" t="s">
        <v>172</v>
      </c>
      <c r="G56" s="18">
        <v>12</v>
      </c>
      <c r="H56" s="23" t="s">
        <v>30</v>
      </c>
      <c r="I56" s="19" t="s">
        <v>159</v>
      </c>
      <c r="J56" s="24" t="s">
        <v>183</v>
      </c>
      <c r="K56" s="24" t="s">
        <v>33</v>
      </c>
      <c r="L56" s="26">
        <f t="shared" si="1"/>
        <v>8773223</v>
      </c>
      <c r="M56" s="26">
        <f t="shared" si="0"/>
        <v>8773223</v>
      </c>
      <c r="N56" s="96">
        <v>2631967</v>
      </c>
      <c r="O56" s="96">
        <v>6141256</v>
      </c>
      <c r="P56" s="26"/>
      <c r="Q56" s="26"/>
      <c r="R56" s="29"/>
      <c r="S56" s="29" t="s">
        <v>184</v>
      </c>
      <c r="T56" s="29" t="s">
        <v>156</v>
      </c>
      <c r="U56" s="29" t="s">
        <v>36</v>
      </c>
      <c r="V56" s="29" t="s">
        <v>37</v>
      </c>
      <c r="W56" s="30" t="s">
        <v>157</v>
      </c>
      <c r="X56" s="84" t="s">
        <v>39</v>
      </c>
    </row>
    <row r="57" spans="1:24" s="6" customFormat="1" ht="57" customHeight="1" x14ac:dyDescent="0.25">
      <c r="A57" s="17" t="s">
        <v>152</v>
      </c>
      <c r="B57" s="18">
        <v>81112501</v>
      </c>
      <c r="C57" s="19" t="s">
        <v>196</v>
      </c>
      <c r="D57" s="20">
        <v>43987</v>
      </c>
      <c r="E57" s="109" t="s">
        <v>172</v>
      </c>
      <c r="F57" s="110" t="s">
        <v>146</v>
      </c>
      <c r="G57" s="18">
        <v>12</v>
      </c>
      <c r="H57" s="23" t="s">
        <v>30</v>
      </c>
      <c r="I57" s="19" t="s">
        <v>159</v>
      </c>
      <c r="J57" s="24" t="s">
        <v>183</v>
      </c>
      <c r="K57" s="24" t="s">
        <v>33</v>
      </c>
      <c r="L57" s="26">
        <f t="shared" si="1"/>
        <v>39605955</v>
      </c>
      <c r="M57" s="128">
        <f t="shared" si="0"/>
        <v>39605955</v>
      </c>
      <c r="N57" s="116">
        <v>11881786</v>
      </c>
      <c r="O57" s="122">
        <v>27724169</v>
      </c>
      <c r="P57" s="26"/>
      <c r="Q57" s="26"/>
      <c r="R57" s="29"/>
      <c r="S57" s="29" t="s">
        <v>184</v>
      </c>
      <c r="T57" s="29" t="s">
        <v>156</v>
      </c>
      <c r="U57" s="29" t="s">
        <v>36</v>
      </c>
      <c r="V57" s="29" t="s">
        <v>37</v>
      </c>
      <c r="W57" s="30" t="s">
        <v>157</v>
      </c>
      <c r="X57" s="84" t="s">
        <v>39</v>
      </c>
    </row>
    <row r="58" spans="1:24" s="6" customFormat="1" ht="57" customHeight="1" x14ac:dyDescent="0.25">
      <c r="A58" s="17" t="s">
        <v>152</v>
      </c>
      <c r="B58" s="18">
        <v>81112501</v>
      </c>
      <c r="C58" s="91" t="s">
        <v>197</v>
      </c>
      <c r="D58" s="54">
        <v>44074</v>
      </c>
      <c r="E58" s="129" t="s">
        <v>59</v>
      </c>
      <c r="F58" s="129" t="s">
        <v>46</v>
      </c>
      <c r="G58" s="18">
        <v>1</v>
      </c>
      <c r="H58" s="23" t="s">
        <v>30</v>
      </c>
      <c r="I58" s="19" t="s">
        <v>159</v>
      </c>
      <c r="J58" s="24" t="s">
        <v>183</v>
      </c>
      <c r="K58" s="24" t="s">
        <v>33</v>
      </c>
      <c r="L58" s="26">
        <f t="shared" si="1"/>
        <v>71181759</v>
      </c>
      <c r="M58" s="128">
        <f t="shared" si="0"/>
        <v>71181759</v>
      </c>
      <c r="N58" s="130">
        <v>21354528</v>
      </c>
      <c r="O58" s="96">
        <v>49827231</v>
      </c>
      <c r="P58" s="26"/>
      <c r="Q58" s="26"/>
      <c r="R58" s="29"/>
      <c r="S58" s="29" t="s">
        <v>184</v>
      </c>
      <c r="T58" s="29" t="s">
        <v>156</v>
      </c>
      <c r="U58" s="29" t="s">
        <v>36</v>
      </c>
      <c r="V58" s="29" t="s">
        <v>37</v>
      </c>
      <c r="W58" s="30" t="s">
        <v>157</v>
      </c>
      <c r="X58" s="84" t="s">
        <v>39</v>
      </c>
    </row>
    <row r="59" spans="1:24" s="6" customFormat="1" ht="57" customHeight="1" x14ac:dyDescent="0.25">
      <c r="A59" s="33" t="s">
        <v>152</v>
      </c>
      <c r="B59" s="34">
        <v>81112501</v>
      </c>
      <c r="C59" s="87" t="s">
        <v>198</v>
      </c>
      <c r="D59" s="37">
        <v>43889</v>
      </c>
      <c r="E59" s="45" t="s">
        <v>58</v>
      </c>
      <c r="F59" s="131" t="s">
        <v>59</v>
      </c>
      <c r="G59" s="34">
        <v>12</v>
      </c>
      <c r="H59" s="40" t="s">
        <v>30</v>
      </c>
      <c r="I59" s="35" t="s">
        <v>159</v>
      </c>
      <c r="J59" s="41" t="s">
        <v>183</v>
      </c>
      <c r="K59" s="41" t="s">
        <v>33</v>
      </c>
      <c r="L59" s="43">
        <f t="shared" si="1"/>
        <v>291064798</v>
      </c>
      <c r="M59" s="43">
        <f t="shared" si="0"/>
        <v>291064798</v>
      </c>
      <c r="N59" s="43">
        <f>208497849-19305730</f>
        <v>189192119</v>
      </c>
      <c r="O59" s="43">
        <f>112268073-10395394</f>
        <v>101872679</v>
      </c>
      <c r="P59" s="43"/>
      <c r="Q59" s="43"/>
      <c r="R59" s="45" t="s">
        <v>89</v>
      </c>
      <c r="S59" s="45" t="s">
        <v>184</v>
      </c>
      <c r="T59" s="45" t="s">
        <v>156</v>
      </c>
      <c r="U59" s="45" t="s">
        <v>36</v>
      </c>
      <c r="V59" s="45" t="s">
        <v>37</v>
      </c>
      <c r="W59" s="46" t="s">
        <v>157</v>
      </c>
      <c r="X59" s="93" t="s">
        <v>39</v>
      </c>
    </row>
    <row r="60" spans="1:24" s="6" customFormat="1" ht="57" customHeight="1" x14ac:dyDescent="0.25">
      <c r="A60" s="56" t="s">
        <v>152</v>
      </c>
      <c r="B60" s="57">
        <v>81111811</v>
      </c>
      <c r="C60" s="132" t="s">
        <v>199</v>
      </c>
      <c r="D60" s="59">
        <v>43951</v>
      </c>
      <c r="E60" s="60" t="s">
        <v>29</v>
      </c>
      <c r="F60" s="61" t="s">
        <v>172</v>
      </c>
      <c r="G60" s="57">
        <v>12</v>
      </c>
      <c r="H60" s="63" t="s">
        <v>30</v>
      </c>
      <c r="I60" s="58" t="s">
        <v>31</v>
      </c>
      <c r="J60" s="60" t="s">
        <v>200</v>
      </c>
      <c r="K60" s="71" t="s">
        <v>201</v>
      </c>
      <c r="L60" s="66">
        <f t="shared" si="1"/>
        <v>529173412</v>
      </c>
      <c r="M60" s="66">
        <f t="shared" si="0"/>
        <v>529173412</v>
      </c>
      <c r="N60" s="76">
        <v>158752024</v>
      </c>
      <c r="O60" s="76">
        <v>370421388</v>
      </c>
      <c r="P60" s="66"/>
      <c r="Q60" s="66"/>
      <c r="R60" s="60"/>
      <c r="S60" s="60" t="s">
        <v>202</v>
      </c>
      <c r="T60" s="60" t="s">
        <v>156</v>
      </c>
      <c r="U60" s="60" t="s">
        <v>36</v>
      </c>
      <c r="V60" s="60" t="s">
        <v>37</v>
      </c>
      <c r="W60" s="68" t="s">
        <v>157</v>
      </c>
      <c r="X60" s="102" t="s">
        <v>39</v>
      </c>
    </row>
    <row r="61" spans="1:24" s="6" customFormat="1" ht="42.75" customHeight="1" x14ac:dyDescent="0.25">
      <c r="A61" s="33" t="s">
        <v>152</v>
      </c>
      <c r="B61" s="34">
        <v>81111811</v>
      </c>
      <c r="C61" s="35" t="s">
        <v>203</v>
      </c>
      <c r="D61" s="37"/>
      <c r="E61" s="38"/>
      <c r="F61" s="38"/>
      <c r="G61" s="53"/>
      <c r="H61" s="40"/>
      <c r="I61" s="41" t="s">
        <v>42</v>
      </c>
      <c r="J61" s="41" t="s">
        <v>173</v>
      </c>
      <c r="K61" s="92" t="s">
        <v>33</v>
      </c>
      <c r="L61" s="43">
        <f t="shared" si="1"/>
        <v>13694833606</v>
      </c>
      <c r="M61" s="43">
        <f t="shared" si="0"/>
        <v>5102501873</v>
      </c>
      <c r="N61" s="43">
        <f>5102501873*0.65</f>
        <v>3316626217.4500003</v>
      </c>
      <c r="O61" s="43">
        <f>5102501873*0.35</f>
        <v>1785875655.55</v>
      </c>
      <c r="P61" s="43">
        <f>5262916643</f>
        <v>5262916643</v>
      </c>
      <c r="Q61" s="43">
        <v>3329415090</v>
      </c>
      <c r="R61" s="45" t="s">
        <v>44</v>
      </c>
      <c r="S61" s="45"/>
      <c r="T61" s="45" t="s">
        <v>156</v>
      </c>
      <c r="U61" s="45" t="s">
        <v>36</v>
      </c>
      <c r="V61" s="45" t="s">
        <v>37</v>
      </c>
      <c r="W61" s="46" t="s">
        <v>157</v>
      </c>
      <c r="X61" s="93" t="s">
        <v>39</v>
      </c>
    </row>
    <row r="62" spans="1:24" s="6" customFormat="1" ht="57" customHeight="1" x14ac:dyDescent="0.25">
      <c r="A62" s="33" t="s">
        <v>152</v>
      </c>
      <c r="B62" s="34">
        <v>81112501</v>
      </c>
      <c r="C62" s="35" t="s">
        <v>204</v>
      </c>
      <c r="D62" s="37">
        <v>43847</v>
      </c>
      <c r="E62" s="45" t="s">
        <v>137</v>
      </c>
      <c r="F62" s="131" t="s">
        <v>69</v>
      </c>
      <c r="G62" s="34">
        <v>10</v>
      </c>
      <c r="H62" s="40" t="s">
        <v>30</v>
      </c>
      <c r="I62" s="35" t="s">
        <v>159</v>
      </c>
      <c r="J62" s="45" t="s">
        <v>173</v>
      </c>
      <c r="K62" s="41" t="s">
        <v>33</v>
      </c>
      <c r="L62" s="86">
        <f t="shared" si="1"/>
        <v>139096848</v>
      </c>
      <c r="M62" s="86">
        <f t="shared" si="0"/>
        <v>139096848</v>
      </c>
      <c r="N62" s="43">
        <f>99316103-8903152</f>
        <v>90412951</v>
      </c>
      <c r="O62" s="43">
        <v>48683897</v>
      </c>
      <c r="P62" s="43"/>
      <c r="Q62" s="43"/>
      <c r="R62" s="45" t="s">
        <v>89</v>
      </c>
      <c r="S62" s="45" t="s">
        <v>205</v>
      </c>
      <c r="T62" s="45" t="s">
        <v>156</v>
      </c>
      <c r="U62" s="45" t="s">
        <v>36</v>
      </c>
      <c r="V62" s="45" t="s">
        <v>37</v>
      </c>
      <c r="W62" s="46" t="s">
        <v>157</v>
      </c>
      <c r="X62" s="93" t="s">
        <v>39</v>
      </c>
    </row>
    <row r="63" spans="1:24" s="6" customFormat="1" ht="57" customHeight="1" x14ac:dyDescent="0.25">
      <c r="A63" s="17" t="s">
        <v>152</v>
      </c>
      <c r="B63" s="18"/>
      <c r="C63" s="19" t="s">
        <v>206</v>
      </c>
      <c r="D63" s="20"/>
      <c r="E63" s="29"/>
      <c r="F63" s="55"/>
      <c r="G63" s="18"/>
      <c r="H63" s="23"/>
      <c r="I63" s="19"/>
      <c r="J63" s="29"/>
      <c r="K63" s="24"/>
      <c r="L63" s="82">
        <f>+M63+P63+Q63</f>
        <v>8903152</v>
      </c>
      <c r="M63" s="82">
        <f>+O63+N63</f>
        <v>8903152</v>
      </c>
      <c r="N63" s="82">
        <f>99316103-90412951</f>
        <v>8903152</v>
      </c>
      <c r="O63" s="26"/>
      <c r="P63" s="26"/>
      <c r="Q63" s="26"/>
      <c r="R63" s="29" t="s">
        <v>207</v>
      </c>
      <c r="S63" s="29"/>
      <c r="T63" s="29"/>
      <c r="U63" s="29"/>
      <c r="V63" s="29"/>
      <c r="W63" s="30"/>
      <c r="X63" s="84"/>
    </row>
    <row r="64" spans="1:24" s="6" customFormat="1" ht="57" customHeight="1" x14ac:dyDescent="0.25">
      <c r="A64" s="17" t="s">
        <v>152</v>
      </c>
      <c r="B64" s="18">
        <v>81112501</v>
      </c>
      <c r="C64" s="19" t="s">
        <v>208</v>
      </c>
      <c r="D64" s="20">
        <v>44071</v>
      </c>
      <c r="E64" s="109" t="s">
        <v>147</v>
      </c>
      <c r="F64" s="55" t="s">
        <v>187</v>
      </c>
      <c r="G64" s="22">
        <v>45</v>
      </c>
      <c r="H64" s="23" t="s">
        <v>164</v>
      </c>
      <c r="I64" s="19" t="s">
        <v>209</v>
      </c>
      <c r="J64" s="24" t="s">
        <v>183</v>
      </c>
      <c r="K64" s="24" t="s">
        <v>33</v>
      </c>
      <c r="L64" s="26">
        <f t="shared" si="1"/>
        <v>10000000</v>
      </c>
      <c r="M64" s="26">
        <f t="shared" si="0"/>
        <v>10000000</v>
      </c>
      <c r="N64" s="116">
        <v>3000000</v>
      </c>
      <c r="O64" s="82">
        <v>7000000</v>
      </c>
      <c r="P64" s="26"/>
      <c r="Q64" s="26"/>
      <c r="R64" s="29"/>
      <c r="S64" s="29" t="s">
        <v>210</v>
      </c>
      <c r="T64" s="29" t="s">
        <v>156</v>
      </c>
      <c r="U64" s="29" t="s">
        <v>36</v>
      </c>
      <c r="V64" s="29" t="s">
        <v>37</v>
      </c>
      <c r="W64" s="30" t="s">
        <v>157</v>
      </c>
      <c r="X64" s="84" t="s">
        <v>39</v>
      </c>
    </row>
    <row r="65" spans="1:24" s="140" customFormat="1" ht="113.25" customHeight="1" x14ac:dyDescent="0.25">
      <c r="A65" s="33" t="s">
        <v>211</v>
      </c>
      <c r="B65" s="133" t="s">
        <v>212</v>
      </c>
      <c r="C65" s="134" t="s">
        <v>213</v>
      </c>
      <c r="D65" s="37">
        <v>43846</v>
      </c>
      <c r="E65" s="38" t="s">
        <v>69</v>
      </c>
      <c r="F65" s="131" t="s">
        <v>58</v>
      </c>
      <c r="G65" s="39">
        <v>9</v>
      </c>
      <c r="H65" s="40" t="s">
        <v>30</v>
      </c>
      <c r="I65" s="135" t="s">
        <v>209</v>
      </c>
      <c r="J65" s="134" t="s">
        <v>213</v>
      </c>
      <c r="K65" s="135" t="s">
        <v>214</v>
      </c>
      <c r="L65" s="43">
        <f t="shared" si="1"/>
        <v>1832094</v>
      </c>
      <c r="M65" s="43">
        <f t="shared" si="0"/>
        <v>1832094</v>
      </c>
      <c r="N65" s="136">
        <f>2185454-353360</f>
        <v>1832094</v>
      </c>
      <c r="O65" s="136"/>
      <c r="P65" s="136"/>
      <c r="Q65" s="136"/>
      <c r="R65" s="137" t="s">
        <v>89</v>
      </c>
      <c r="S65" s="133" t="s">
        <v>215</v>
      </c>
      <c r="T65" s="138" t="s">
        <v>156</v>
      </c>
      <c r="U65" s="137" t="s">
        <v>216</v>
      </c>
      <c r="V65" s="137" t="s">
        <v>37</v>
      </c>
      <c r="W65" s="137" t="s">
        <v>157</v>
      </c>
      <c r="X65" s="139" t="s">
        <v>39</v>
      </c>
    </row>
    <row r="66" spans="1:24" ht="57" customHeight="1" x14ac:dyDescent="0.25">
      <c r="A66" s="56" t="s">
        <v>211</v>
      </c>
      <c r="B66" s="77" t="s">
        <v>217</v>
      </c>
      <c r="C66" s="141" t="s">
        <v>218</v>
      </c>
      <c r="D66" s="59">
        <v>43868</v>
      </c>
      <c r="E66" s="141" t="s">
        <v>69</v>
      </c>
      <c r="F66" s="61" t="s">
        <v>59</v>
      </c>
      <c r="G66" s="142">
        <v>9</v>
      </c>
      <c r="H66" s="63" t="s">
        <v>30</v>
      </c>
      <c r="I66" s="143" t="s">
        <v>176</v>
      </c>
      <c r="J66" s="141" t="s">
        <v>219</v>
      </c>
      <c r="K66" s="143" t="s">
        <v>220</v>
      </c>
      <c r="L66" s="66">
        <f t="shared" si="1"/>
        <v>68291060</v>
      </c>
      <c r="M66" s="66">
        <f t="shared" si="0"/>
        <v>68291060</v>
      </c>
      <c r="N66" s="144">
        <v>68291060</v>
      </c>
      <c r="O66" s="144"/>
      <c r="P66" s="144"/>
      <c r="Q66" s="144"/>
      <c r="R66" s="145" t="s">
        <v>62</v>
      </c>
      <c r="S66" s="77" t="s">
        <v>215</v>
      </c>
      <c r="T66" s="146" t="s">
        <v>156</v>
      </c>
      <c r="U66" s="145" t="s">
        <v>216</v>
      </c>
      <c r="V66" s="145" t="s">
        <v>37</v>
      </c>
      <c r="W66" s="145" t="s">
        <v>221</v>
      </c>
      <c r="X66" s="147" t="s">
        <v>39</v>
      </c>
    </row>
    <row r="67" spans="1:24" ht="75" customHeight="1" x14ac:dyDescent="0.25">
      <c r="A67" s="56" t="s">
        <v>211</v>
      </c>
      <c r="B67" s="148" t="s">
        <v>222</v>
      </c>
      <c r="C67" s="141" t="s">
        <v>223</v>
      </c>
      <c r="D67" s="59">
        <v>43868</v>
      </c>
      <c r="E67" s="141" t="s">
        <v>69</v>
      </c>
      <c r="F67" s="61" t="s">
        <v>59</v>
      </c>
      <c r="G67" s="61">
        <v>1</v>
      </c>
      <c r="H67" s="63" t="s">
        <v>30</v>
      </c>
      <c r="I67" s="143" t="s">
        <v>180</v>
      </c>
      <c r="J67" s="141" t="s">
        <v>224</v>
      </c>
      <c r="K67" s="143" t="s">
        <v>225</v>
      </c>
      <c r="L67" s="66">
        <f t="shared" si="1"/>
        <v>36507607</v>
      </c>
      <c r="M67" s="66">
        <f t="shared" si="0"/>
        <v>36507607</v>
      </c>
      <c r="N67" s="144">
        <f>68831207+7473649+1524390+7700000-49021639</f>
        <v>36507607</v>
      </c>
      <c r="O67" s="144"/>
      <c r="P67" s="144"/>
      <c r="Q67" s="144"/>
      <c r="R67" s="145" t="s">
        <v>62</v>
      </c>
      <c r="S67" s="77" t="s">
        <v>215</v>
      </c>
      <c r="T67" s="146" t="s">
        <v>156</v>
      </c>
      <c r="U67" s="145" t="s">
        <v>216</v>
      </c>
      <c r="V67" s="145" t="s">
        <v>37</v>
      </c>
      <c r="W67" s="145" t="s">
        <v>226</v>
      </c>
      <c r="X67" s="147" t="s">
        <v>39</v>
      </c>
    </row>
    <row r="68" spans="1:24" ht="42.75" customHeight="1" x14ac:dyDescent="0.25">
      <c r="A68" s="56" t="s">
        <v>211</v>
      </c>
      <c r="B68" s="77" t="s">
        <v>227</v>
      </c>
      <c r="C68" s="141" t="s">
        <v>228</v>
      </c>
      <c r="D68" s="59">
        <v>43868</v>
      </c>
      <c r="E68" s="60" t="s">
        <v>58</v>
      </c>
      <c r="F68" s="60" t="s">
        <v>58</v>
      </c>
      <c r="G68" s="61">
        <v>9</v>
      </c>
      <c r="H68" s="63" t="s">
        <v>30</v>
      </c>
      <c r="I68" s="143" t="s">
        <v>209</v>
      </c>
      <c r="J68" s="141" t="s">
        <v>229</v>
      </c>
      <c r="K68" s="143" t="s">
        <v>220</v>
      </c>
      <c r="L68" s="66">
        <f t="shared" si="1"/>
        <v>25750000</v>
      </c>
      <c r="M68" s="66">
        <f t="shared" si="0"/>
        <v>25750000</v>
      </c>
      <c r="N68" s="149">
        <v>25750000</v>
      </c>
      <c r="O68" s="144">
        <v>0</v>
      </c>
      <c r="P68" s="144"/>
      <c r="Q68" s="144"/>
      <c r="R68" s="145" t="s">
        <v>62</v>
      </c>
      <c r="S68" s="77" t="s">
        <v>215</v>
      </c>
      <c r="T68" s="150" t="s">
        <v>35</v>
      </c>
      <c r="U68" s="145" t="s">
        <v>36</v>
      </c>
      <c r="V68" s="145" t="s">
        <v>37</v>
      </c>
      <c r="W68" s="145" t="s">
        <v>230</v>
      </c>
      <c r="X68" s="147" t="s">
        <v>39</v>
      </c>
    </row>
    <row r="69" spans="1:24" ht="71.25" customHeight="1" x14ac:dyDescent="0.3">
      <c r="A69" s="56" t="s">
        <v>211</v>
      </c>
      <c r="B69" s="77" t="s">
        <v>231</v>
      </c>
      <c r="C69" s="141" t="s">
        <v>232</v>
      </c>
      <c r="D69" s="59">
        <v>43868</v>
      </c>
      <c r="E69" s="60" t="s">
        <v>58</v>
      </c>
      <c r="F69" s="61" t="s">
        <v>59</v>
      </c>
      <c r="G69" s="61">
        <v>6</v>
      </c>
      <c r="H69" s="63" t="s">
        <v>30</v>
      </c>
      <c r="I69" s="143" t="s">
        <v>176</v>
      </c>
      <c r="J69" s="141" t="s">
        <v>233</v>
      </c>
      <c r="K69" s="143" t="s">
        <v>220</v>
      </c>
      <c r="L69" s="66">
        <f t="shared" si="1"/>
        <v>175535000</v>
      </c>
      <c r="M69" s="66">
        <f t="shared" si="0"/>
        <v>175535000</v>
      </c>
      <c r="N69" s="144">
        <f>141535000+34000000</f>
        <v>175535000</v>
      </c>
      <c r="O69" s="144"/>
      <c r="P69" s="144"/>
      <c r="Q69" s="144"/>
      <c r="R69" s="145" t="s">
        <v>62</v>
      </c>
      <c r="S69" s="77" t="s">
        <v>215</v>
      </c>
      <c r="T69" s="151" t="s">
        <v>35</v>
      </c>
      <c r="U69" s="145" t="s">
        <v>36</v>
      </c>
      <c r="V69" s="145" t="s">
        <v>37</v>
      </c>
      <c r="W69" s="145" t="s">
        <v>234</v>
      </c>
      <c r="X69" s="147" t="s">
        <v>39</v>
      </c>
    </row>
    <row r="70" spans="1:24" ht="57" customHeight="1" x14ac:dyDescent="0.25">
      <c r="A70" s="17" t="s">
        <v>211</v>
      </c>
      <c r="B70" s="109" t="s">
        <v>235</v>
      </c>
      <c r="C70" s="115" t="s">
        <v>236</v>
      </c>
      <c r="D70" s="20">
        <v>44104</v>
      </c>
      <c r="E70" s="109" t="s">
        <v>147</v>
      </c>
      <c r="F70" s="55" t="s">
        <v>187</v>
      </c>
      <c r="G70" s="55">
        <v>1</v>
      </c>
      <c r="H70" s="23" t="s">
        <v>30</v>
      </c>
      <c r="I70" s="152" t="s">
        <v>31</v>
      </c>
      <c r="J70" s="115" t="s">
        <v>233</v>
      </c>
      <c r="K70" s="152" t="s">
        <v>220</v>
      </c>
      <c r="L70" s="26">
        <f t="shared" si="1"/>
        <v>5000000</v>
      </c>
      <c r="M70" s="26">
        <f t="shared" ref="M70:M133" si="2">+O70+N70</f>
        <v>5000000</v>
      </c>
      <c r="N70" s="153">
        <v>5000000</v>
      </c>
      <c r="O70" s="153"/>
      <c r="P70" s="153"/>
      <c r="Q70" s="153"/>
      <c r="R70" s="154"/>
      <c r="S70" s="109" t="s">
        <v>215</v>
      </c>
      <c r="T70" s="155" t="s">
        <v>35</v>
      </c>
      <c r="U70" s="154" t="s">
        <v>36</v>
      </c>
      <c r="V70" s="154" t="s">
        <v>37</v>
      </c>
      <c r="W70" s="154" t="s">
        <v>237</v>
      </c>
      <c r="X70" s="156" t="s">
        <v>39</v>
      </c>
    </row>
    <row r="71" spans="1:24" ht="57" customHeight="1" x14ac:dyDescent="0.25">
      <c r="A71" s="17" t="s">
        <v>211</v>
      </c>
      <c r="B71" s="109" t="s">
        <v>235</v>
      </c>
      <c r="C71" s="115" t="s">
        <v>238</v>
      </c>
      <c r="D71" s="20">
        <v>44071</v>
      </c>
      <c r="E71" s="21" t="s">
        <v>146</v>
      </c>
      <c r="F71" s="55" t="s">
        <v>147</v>
      </c>
      <c r="G71" s="55">
        <v>1</v>
      </c>
      <c r="H71" s="23" t="s">
        <v>30</v>
      </c>
      <c r="I71" s="152" t="s">
        <v>31</v>
      </c>
      <c r="J71" s="115" t="s">
        <v>233</v>
      </c>
      <c r="K71" s="152" t="s">
        <v>220</v>
      </c>
      <c r="L71" s="26">
        <f t="shared" si="1"/>
        <v>2850000</v>
      </c>
      <c r="M71" s="26">
        <f t="shared" si="2"/>
        <v>2850000</v>
      </c>
      <c r="N71" s="153">
        <v>2850000</v>
      </c>
      <c r="O71" s="153"/>
      <c r="P71" s="153"/>
      <c r="Q71" s="153"/>
      <c r="R71" s="154"/>
      <c r="S71" s="109" t="s">
        <v>215</v>
      </c>
      <c r="T71" s="155" t="s">
        <v>35</v>
      </c>
      <c r="U71" s="154" t="s">
        <v>36</v>
      </c>
      <c r="V71" s="154" t="s">
        <v>37</v>
      </c>
      <c r="W71" s="154" t="s">
        <v>239</v>
      </c>
      <c r="X71" s="156" t="s">
        <v>39</v>
      </c>
    </row>
    <row r="72" spans="1:24" ht="57" customHeight="1" x14ac:dyDescent="0.25">
      <c r="A72" s="17" t="s">
        <v>211</v>
      </c>
      <c r="B72" s="109" t="s">
        <v>235</v>
      </c>
      <c r="C72" s="115" t="s">
        <v>240</v>
      </c>
      <c r="D72" s="20">
        <v>44134</v>
      </c>
      <c r="E72" s="109" t="s">
        <v>187</v>
      </c>
      <c r="F72" s="55" t="s">
        <v>241</v>
      </c>
      <c r="G72" s="55">
        <v>1</v>
      </c>
      <c r="H72" s="23" t="s">
        <v>30</v>
      </c>
      <c r="I72" s="152" t="s">
        <v>31</v>
      </c>
      <c r="J72" s="115" t="s">
        <v>233</v>
      </c>
      <c r="K72" s="152" t="s">
        <v>220</v>
      </c>
      <c r="L72" s="26">
        <f t="shared" ref="L72:L143" si="3">+M72+P72+Q72</f>
        <v>3500000</v>
      </c>
      <c r="M72" s="26">
        <f t="shared" si="2"/>
        <v>3500000</v>
      </c>
      <c r="N72" s="153">
        <v>3500000</v>
      </c>
      <c r="O72" s="153"/>
      <c r="P72" s="153"/>
      <c r="Q72" s="153"/>
      <c r="R72" s="154"/>
      <c r="S72" s="109" t="s">
        <v>215</v>
      </c>
      <c r="T72" s="155" t="s">
        <v>35</v>
      </c>
      <c r="U72" s="154" t="s">
        <v>36</v>
      </c>
      <c r="V72" s="154" t="s">
        <v>37</v>
      </c>
      <c r="W72" s="154" t="s">
        <v>242</v>
      </c>
      <c r="X72" s="156" t="s">
        <v>39</v>
      </c>
    </row>
    <row r="73" spans="1:24" ht="57" customHeight="1" x14ac:dyDescent="0.25">
      <c r="A73" s="17" t="s">
        <v>211</v>
      </c>
      <c r="B73" s="109" t="s">
        <v>235</v>
      </c>
      <c r="C73" s="115" t="s">
        <v>243</v>
      </c>
      <c r="D73" s="20">
        <v>44043</v>
      </c>
      <c r="E73" s="109" t="s">
        <v>172</v>
      </c>
      <c r="F73" s="110" t="s">
        <v>146</v>
      </c>
      <c r="G73" s="55">
        <v>1</v>
      </c>
      <c r="H73" s="23" t="s">
        <v>30</v>
      </c>
      <c r="I73" s="152" t="s">
        <v>31</v>
      </c>
      <c r="J73" s="115" t="s">
        <v>233</v>
      </c>
      <c r="K73" s="152" t="s">
        <v>220</v>
      </c>
      <c r="L73" s="26">
        <f t="shared" si="3"/>
        <v>4250000</v>
      </c>
      <c r="M73" s="26">
        <f t="shared" si="2"/>
        <v>4250000</v>
      </c>
      <c r="N73" s="153">
        <v>4250000</v>
      </c>
      <c r="O73" s="153"/>
      <c r="P73" s="153"/>
      <c r="Q73" s="153"/>
      <c r="R73" s="154"/>
      <c r="S73" s="109" t="s">
        <v>215</v>
      </c>
      <c r="T73" s="155" t="s">
        <v>35</v>
      </c>
      <c r="U73" s="154" t="s">
        <v>36</v>
      </c>
      <c r="V73" s="154" t="s">
        <v>37</v>
      </c>
      <c r="W73" s="154" t="s">
        <v>244</v>
      </c>
      <c r="X73" s="156" t="s">
        <v>39</v>
      </c>
    </row>
    <row r="74" spans="1:24" ht="57" customHeight="1" x14ac:dyDescent="0.25">
      <c r="A74" s="17" t="s">
        <v>211</v>
      </c>
      <c r="B74" s="109" t="s">
        <v>235</v>
      </c>
      <c r="C74" s="115" t="s">
        <v>245</v>
      </c>
      <c r="D74" s="20">
        <v>43921</v>
      </c>
      <c r="E74" s="29" t="s">
        <v>58</v>
      </c>
      <c r="F74" s="29" t="s">
        <v>58</v>
      </c>
      <c r="G74" s="55" t="s">
        <v>246</v>
      </c>
      <c r="H74" s="23" t="s">
        <v>30</v>
      </c>
      <c r="I74" s="152" t="s">
        <v>31</v>
      </c>
      <c r="J74" s="115" t="s">
        <v>233</v>
      </c>
      <c r="K74" s="152" t="s">
        <v>220</v>
      </c>
      <c r="L74" s="26">
        <f t="shared" si="3"/>
        <v>8000000</v>
      </c>
      <c r="M74" s="26">
        <f t="shared" si="2"/>
        <v>8000000</v>
      </c>
      <c r="N74" s="153">
        <v>8000000</v>
      </c>
      <c r="O74" s="153"/>
      <c r="P74" s="153"/>
      <c r="Q74" s="153"/>
      <c r="R74" s="154"/>
      <c r="S74" s="109" t="s">
        <v>215</v>
      </c>
      <c r="T74" s="155" t="s">
        <v>35</v>
      </c>
      <c r="U74" s="154" t="s">
        <v>36</v>
      </c>
      <c r="V74" s="154" t="s">
        <v>37</v>
      </c>
      <c r="W74" s="154" t="s">
        <v>247</v>
      </c>
      <c r="X74" s="156" t="s">
        <v>39</v>
      </c>
    </row>
    <row r="75" spans="1:24" ht="57" customHeight="1" x14ac:dyDescent="0.25">
      <c r="A75" s="56" t="s">
        <v>211</v>
      </c>
      <c r="B75" s="77" t="s">
        <v>248</v>
      </c>
      <c r="C75" s="141" t="s">
        <v>249</v>
      </c>
      <c r="D75" s="59">
        <v>43868</v>
      </c>
      <c r="E75" s="60" t="s">
        <v>58</v>
      </c>
      <c r="F75" s="61" t="s">
        <v>59</v>
      </c>
      <c r="G75" s="157">
        <v>9</v>
      </c>
      <c r="H75" s="63" t="s">
        <v>30</v>
      </c>
      <c r="I75" s="143" t="s">
        <v>176</v>
      </c>
      <c r="J75" s="141" t="s">
        <v>250</v>
      </c>
      <c r="K75" s="143" t="s">
        <v>220</v>
      </c>
      <c r="L75" s="66">
        <f t="shared" si="3"/>
        <v>149457409</v>
      </c>
      <c r="M75" s="66">
        <f t="shared" si="2"/>
        <v>149457409</v>
      </c>
      <c r="N75" s="144">
        <v>149457409</v>
      </c>
      <c r="O75" s="66">
        <v>0</v>
      </c>
      <c r="P75" s="144"/>
      <c r="Q75" s="144"/>
      <c r="R75" s="145" t="s">
        <v>62</v>
      </c>
      <c r="S75" s="77" t="s">
        <v>215</v>
      </c>
      <c r="T75" s="146" t="s">
        <v>35</v>
      </c>
      <c r="U75" s="145" t="s">
        <v>36</v>
      </c>
      <c r="V75" s="145" t="s">
        <v>37</v>
      </c>
      <c r="W75" s="145" t="s">
        <v>251</v>
      </c>
      <c r="X75" s="147" t="s">
        <v>39</v>
      </c>
    </row>
    <row r="76" spans="1:24" ht="42.75" customHeight="1" x14ac:dyDescent="0.25">
      <c r="A76" s="33" t="s">
        <v>211</v>
      </c>
      <c r="B76" s="34">
        <v>90121502</v>
      </c>
      <c r="C76" s="35" t="s">
        <v>252</v>
      </c>
      <c r="D76" s="37">
        <v>44043</v>
      </c>
      <c r="E76" s="38" t="s">
        <v>146</v>
      </c>
      <c r="F76" s="38" t="s">
        <v>146</v>
      </c>
      <c r="G76" s="53">
        <v>12</v>
      </c>
      <c r="H76" s="40" t="s">
        <v>30</v>
      </c>
      <c r="I76" s="41" t="s">
        <v>42</v>
      </c>
      <c r="J76" s="41" t="s">
        <v>253</v>
      </c>
      <c r="K76" s="92" t="s">
        <v>254</v>
      </c>
      <c r="L76" s="43">
        <f t="shared" si="3"/>
        <v>1386243400</v>
      </c>
      <c r="M76" s="43">
        <f t="shared" si="2"/>
        <v>1386243400</v>
      </c>
      <c r="N76" s="43">
        <v>842797000</v>
      </c>
      <c r="O76" s="43">
        <v>543446400</v>
      </c>
      <c r="P76" s="43"/>
      <c r="Q76" s="43"/>
      <c r="R76" s="45" t="s">
        <v>44</v>
      </c>
      <c r="S76" s="45" t="s">
        <v>215</v>
      </c>
      <c r="T76" s="45" t="s">
        <v>35</v>
      </c>
      <c r="U76" s="45" t="s">
        <v>36</v>
      </c>
      <c r="V76" s="45" t="s">
        <v>37</v>
      </c>
      <c r="W76" s="46" t="s">
        <v>255</v>
      </c>
      <c r="X76" s="93" t="s">
        <v>39</v>
      </c>
    </row>
    <row r="77" spans="1:24" ht="57" customHeight="1" x14ac:dyDescent="0.25">
      <c r="A77" s="17" t="s">
        <v>211</v>
      </c>
      <c r="B77" s="109">
        <v>90121502</v>
      </c>
      <c r="C77" s="115" t="s">
        <v>256</v>
      </c>
      <c r="D77" s="20">
        <v>44012</v>
      </c>
      <c r="E77" s="21" t="s">
        <v>146</v>
      </c>
      <c r="F77" s="110" t="s">
        <v>146</v>
      </c>
      <c r="G77" s="158">
        <v>18</v>
      </c>
      <c r="H77" s="23" t="s">
        <v>30</v>
      </c>
      <c r="I77" s="19" t="s">
        <v>159</v>
      </c>
      <c r="J77" s="115" t="s">
        <v>253</v>
      </c>
      <c r="K77" s="152" t="s">
        <v>254</v>
      </c>
      <c r="L77" s="26">
        <f t="shared" si="3"/>
        <v>1784434672</v>
      </c>
      <c r="M77" s="26">
        <f t="shared" si="2"/>
        <v>356603970</v>
      </c>
      <c r="N77" s="153">
        <v>231902000</v>
      </c>
      <c r="O77" s="159">
        <v>124701970</v>
      </c>
      <c r="P77" s="159">
        <v>1427830702</v>
      </c>
      <c r="Q77" s="153"/>
      <c r="R77" s="154"/>
      <c r="S77" s="109" t="s">
        <v>215</v>
      </c>
      <c r="T77" s="155" t="s">
        <v>35</v>
      </c>
      <c r="U77" s="154" t="s">
        <v>36</v>
      </c>
      <c r="V77" s="154" t="s">
        <v>37</v>
      </c>
      <c r="W77" s="154" t="s">
        <v>255</v>
      </c>
      <c r="X77" s="156" t="s">
        <v>39</v>
      </c>
    </row>
    <row r="78" spans="1:24" ht="42.75" customHeight="1" x14ac:dyDescent="0.25">
      <c r="A78" s="33" t="s">
        <v>211</v>
      </c>
      <c r="B78" s="133">
        <v>43231505</v>
      </c>
      <c r="C78" s="134" t="s">
        <v>257</v>
      </c>
      <c r="D78" s="37">
        <v>43868</v>
      </c>
      <c r="E78" s="131" t="s">
        <v>69</v>
      </c>
      <c r="F78" s="131" t="s">
        <v>69</v>
      </c>
      <c r="G78" s="160">
        <v>11</v>
      </c>
      <c r="H78" s="40" t="s">
        <v>30</v>
      </c>
      <c r="I78" s="135" t="s">
        <v>31</v>
      </c>
      <c r="J78" s="134" t="s">
        <v>258</v>
      </c>
      <c r="K78" s="135" t="s">
        <v>259</v>
      </c>
      <c r="L78" s="43">
        <f t="shared" si="3"/>
        <v>96339068</v>
      </c>
      <c r="M78" s="43">
        <f t="shared" si="2"/>
        <v>96339068</v>
      </c>
      <c r="N78" s="161">
        <f>106472000- 10132932</f>
        <v>96339068</v>
      </c>
      <c r="O78" s="136"/>
      <c r="P78" s="136"/>
      <c r="Q78" s="136"/>
      <c r="R78" s="137" t="s">
        <v>89</v>
      </c>
      <c r="S78" s="133" t="s">
        <v>215</v>
      </c>
      <c r="T78" s="138" t="s">
        <v>35</v>
      </c>
      <c r="U78" s="137" t="s">
        <v>36</v>
      </c>
      <c r="V78" s="137" t="s">
        <v>37</v>
      </c>
      <c r="W78" s="137" t="s">
        <v>255</v>
      </c>
      <c r="X78" s="139" t="s">
        <v>39</v>
      </c>
    </row>
    <row r="79" spans="1:24" ht="42.75" customHeight="1" x14ac:dyDescent="0.25">
      <c r="A79" s="17" t="s">
        <v>211</v>
      </c>
      <c r="B79" s="109" t="s">
        <v>260</v>
      </c>
      <c r="C79" s="115" t="s">
        <v>261</v>
      </c>
      <c r="D79" s="20">
        <v>43982</v>
      </c>
      <c r="E79" s="109" t="s">
        <v>46</v>
      </c>
      <c r="F79" s="55" t="s">
        <v>29</v>
      </c>
      <c r="G79" s="162">
        <v>1</v>
      </c>
      <c r="H79" s="23" t="s">
        <v>30</v>
      </c>
      <c r="I79" s="152" t="s">
        <v>176</v>
      </c>
      <c r="J79" s="115" t="s">
        <v>262</v>
      </c>
      <c r="K79" s="152" t="s">
        <v>263</v>
      </c>
      <c r="L79" s="26">
        <f>+M79+P79+Q79</f>
        <v>224424480</v>
      </c>
      <c r="M79" s="26">
        <f>+O79+N79</f>
        <v>224424480</v>
      </c>
      <c r="N79" s="163">
        <v>224424480</v>
      </c>
      <c r="O79" s="153"/>
      <c r="P79" s="153"/>
      <c r="Q79" s="153"/>
      <c r="R79" s="154" t="s">
        <v>207</v>
      </c>
      <c r="S79" s="109" t="s">
        <v>215</v>
      </c>
      <c r="T79" s="155" t="s">
        <v>35</v>
      </c>
      <c r="U79" s="154" t="s">
        <v>36</v>
      </c>
      <c r="V79" s="154" t="s">
        <v>37</v>
      </c>
      <c r="W79" s="154" t="s">
        <v>255</v>
      </c>
      <c r="X79" s="156" t="s">
        <v>39</v>
      </c>
    </row>
    <row r="80" spans="1:24" ht="99.75" customHeight="1" x14ac:dyDescent="0.25">
      <c r="A80" s="33" t="s">
        <v>211</v>
      </c>
      <c r="B80" s="133">
        <v>80111500</v>
      </c>
      <c r="C80" s="134" t="s">
        <v>264</v>
      </c>
      <c r="D80" s="37">
        <v>43861</v>
      </c>
      <c r="E80" s="38" t="s">
        <v>69</v>
      </c>
      <c r="F80" s="38" t="s">
        <v>69</v>
      </c>
      <c r="G80" s="160">
        <v>10</v>
      </c>
      <c r="H80" s="40" t="s">
        <v>30</v>
      </c>
      <c r="I80" s="135" t="s">
        <v>31</v>
      </c>
      <c r="J80" s="134" t="s">
        <v>265</v>
      </c>
      <c r="K80" s="135" t="s">
        <v>33</v>
      </c>
      <c r="L80" s="43">
        <f>+M80+O78+Q80</f>
        <v>107917333</v>
      </c>
      <c r="M80" s="43">
        <f t="shared" si="2"/>
        <v>107917333</v>
      </c>
      <c r="N80" s="136">
        <f>114400000-6482667</f>
        <v>107917333</v>
      </c>
      <c r="O80" s="136"/>
      <c r="P80" s="85"/>
      <c r="Q80" s="136"/>
      <c r="R80" s="137" t="s">
        <v>89</v>
      </c>
      <c r="S80" s="133" t="s">
        <v>215</v>
      </c>
      <c r="T80" s="138" t="s">
        <v>35</v>
      </c>
      <c r="U80" s="137" t="s">
        <v>36</v>
      </c>
      <c r="V80" s="137" t="s">
        <v>37</v>
      </c>
      <c r="W80" s="137" t="s">
        <v>266</v>
      </c>
      <c r="X80" s="139" t="s">
        <v>39</v>
      </c>
    </row>
    <row r="81" spans="1:24" ht="99.75" customHeight="1" x14ac:dyDescent="0.25">
      <c r="A81" s="17" t="s">
        <v>211</v>
      </c>
      <c r="B81" s="109">
        <v>80111501</v>
      </c>
      <c r="C81" s="115" t="s">
        <v>267</v>
      </c>
      <c r="D81" s="20">
        <v>43862</v>
      </c>
      <c r="E81" s="21" t="s">
        <v>69</v>
      </c>
      <c r="F81" s="21" t="s">
        <v>69</v>
      </c>
      <c r="G81" s="162">
        <v>11</v>
      </c>
      <c r="H81" s="23" t="s">
        <v>30</v>
      </c>
      <c r="I81" s="152" t="s">
        <v>31</v>
      </c>
      <c r="J81" s="115" t="s">
        <v>265</v>
      </c>
      <c r="K81" s="152" t="s">
        <v>99</v>
      </c>
      <c r="L81" s="26">
        <f>+M81+O79+Q81</f>
        <v>6482667</v>
      </c>
      <c r="M81" s="26">
        <f>+O81+N81</f>
        <v>6482667</v>
      </c>
      <c r="N81" s="153">
        <f>114400000-107917333</f>
        <v>6482667</v>
      </c>
      <c r="O81" s="153"/>
      <c r="P81" s="83"/>
      <c r="Q81" s="153"/>
      <c r="R81" s="154" t="s">
        <v>207</v>
      </c>
      <c r="S81" s="109" t="s">
        <v>215</v>
      </c>
      <c r="T81" s="155" t="s">
        <v>35</v>
      </c>
      <c r="U81" s="154" t="s">
        <v>36</v>
      </c>
      <c r="V81" s="154" t="s">
        <v>37</v>
      </c>
      <c r="W81" s="154" t="s">
        <v>268</v>
      </c>
      <c r="X81" s="156" t="s">
        <v>39</v>
      </c>
    </row>
    <row r="82" spans="1:24" ht="42.75" customHeight="1" x14ac:dyDescent="0.25">
      <c r="A82" s="56" t="s">
        <v>269</v>
      </c>
      <c r="B82" s="57">
        <v>43233201</v>
      </c>
      <c r="C82" s="58" t="s">
        <v>270</v>
      </c>
      <c r="D82" s="59">
        <v>43921</v>
      </c>
      <c r="E82" s="60" t="s">
        <v>59</v>
      </c>
      <c r="F82" s="60" t="s">
        <v>46</v>
      </c>
      <c r="G82" s="157">
        <v>7</v>
      </c>
      <c r="H82" s="164" t="s">
        <v>30</v>
      </c>
      <c r="I82" s="71" t="s">
        <v>209</v>
      </c>
      <c r="J82" s="71" t="s">
        <v>271</v>
      </c>
      <c r="K82" s="100" t="s">
        <v>272</v>
      </c>
      <c r="L82" s="66">
        <f t="shared" si="3"/>
        <v>4570860</v>
      </c>
      <c r="M82" s="66">
        <f t="shared" si="2"/>
        <v>4570860</v>
      </c>
      <c r="N82" s="66">
        <f>4217500+353360</f>
        <v>4570860</v>
      </c>
      <c r="O82" s="66">
        <v>0</v>
      </c>
      <c r="P82" s="66"/>
      <c r="Q82" s="66"/>
      <c r="R82" s="60" t="s">
        <v>62</v>
      </c>
      <c r="S82" s="60" t="s">
        <v>273</v>
      </c>
      <c r="T82" s="60" t="s">
        <v>156</v>
      </c>
      <c r="U82" s="60" t="s">
        <v>36</v>
      </c>
      <c r="V82" s="60" t="s">
        <v>37</v>
      </c>
      <c r="W82" s="68" t="s">
        <v>157</v>
      </c>
      <c r="X82" s="165" t="s">
        <v>39</v>
      </c>
    </row>
    <row r="83" spans="1:24" ht="71.25" customHeight="1" x14ac:dyDescent="0.25">
      <c r="A83" s="33" t="s">
        <v>269</v>
      </c>
      <c r="B83" s="45">
        <v>80141628</v>
      </c>
      <c r="C83" s="166" t="s">
        <v>274</v>
      </c>
      <c r="D83" s="37">
        <v>43830</v>
      </c>
      <c r="E83" s="45" t="s">
        <v>137</v>
      </c>
      <c r="F83" s="45" t="s">
        <v>137</v>
      </c>
      <c r="G83" s="167">
        <v>144</v>
      </c>
      <c r="H83" s="40" t="s">
        <v>30</v>
      </c>
      <c r="I83" s="41" t="s">
        <v>275</v>
      </c>
      <c r="J83" s="41" t="s">
        <v>276</v>
      </c>
      <c r="K83" s="168" t="s">
        <v>277</v>
      </c>
      <c r="L83" s="43">
        <f t="shared" si="3"/>
        <v>0</v>
      </c>
      <c r="M83" s="43">
        <f t="shared" si="2"/>
        <v>0</v>
      </c>
      <c r="N83" s="44">
        <v>0</v>
      </c>
      <c r="O83" s="43">
        <v>0</v>
      </c>
      <c r="P83" s="43"/>
      <c r="Q83" s="43"/>
      <c r="R83" s="45" t="s">
        <v>44</v>
      </c>
      <c r="S83" s="45" t="s">
        <v>273</v>
      </c>
      <c r="T83" s="45" t="s">
        <v>156</v>
      </c>
      <c r="U83" s="45" t="s">
        <v>36</v>
      </c>
      <c r="V83" s="45" t="s">
        <v>37</v>
      </c>
      <c r="W83" s="46" t="s">
        <v>157</v>
      </c>
      <c r="X83" s="169" t="s">
        <v>39</v>
      </c>
    </row>
    <row r="84" spans="1:24" ht="99.75" customHeight="1" x14ac:dyDescent="0.25">
      <c r="A84" s="33" t="s">
        <v>269</v>
      </c>
      <c r="B84" s="34">
        <v>80141628</v>
      </c>
      <c r="C84" s="35" t="s">
        <v>278</v>
      </c>
      <c r="D84" s="37">
        <v>44106</v>
      </c>
      <c r="E84" s="38" t="s">
        <v>241</v>
      </c>
      <c r="F84" s="38" t="s">
        <v>241</v>
      </c>
      <c r="G84" s="53">
        <v>36.5</v>
      </c>
      <c r="H84" s="40" t="s">
        <v>30</v>
      </c>
      <c r="I84" s="41" t="s">
        <v>42</v>
      </c>
      <c r="J84" s="41" t="s">
        <v>279</v>
      </c>
      <c r="K84" s="92" t="s">
        <v>33</v>
      </c>
      <c r="L84" s="43">
        <f t="shared" si="3"/>
        <v>507351873</v>
      </c>
      <c r="M84" s="43">
        <f t="shared" si="2"/>
        <v>245282767</v>
      </c>
      <c r="N84" s="43">
        <f>255749105-10466338</f>
        <v>245282767</v>
      </c>
      <c r="O84" s="43">
        <v>0</v>
      </c>
      <c r="P84" s="43">
        <v>262069106</v>
      </c>
      <c r="Q84" s="43"/>
      <c r="R84" s="45" t="s">
        <v>44</v>
      </c>
      <c r="S84" s="45" t="s">
        <v>273</v>
      </c>
      <c r="T84" s="45" t="s">
        <v>156</v>
      </c>
      <c r="U84" s="45" t="s">
        <v>36</v>
      </c>
      <c r="V84" s="45" t="s">
        <v>37</v>
      </c>
      <c r="W84" s="46" t="s">
        <v>157</v>
      </c>
      <c r="X84" s="93" t="s">
        <v>39</v>
      </c>
    </row>
    <row r="85" spans="1:24" ht="128.25" customHeight="1" x14ac:dyDescent="0.25">
      <c r="A85" s="17" t="s">
        <v>269</v>
      </c>
      <c r="B85" s="18" t="s">
        <v>280</v>
      </c>
      <c r="C85" s="19" t="s">
        <v>281</v>
      </c>
      <c r="D85" s="20"/>
      <c r="E85" s="21"/>
      <c r="F85" s="21"/>
      <c r="G85" s="22">
        <v>33</v>
      </c>
      <c r="H85" s="23" t="s">
        <v>30</v>
      </c>
      <c r="I85" s="19" t="s">
        <v>282</v>
      </c>
      <c r="J85" s="29" t="s">
        <v>283</v>
      </c>
      <c r="K85" s="24" t="s">
        <v>33</v>
      </c>
      <c r="L85" s="26">
        <f t="shared" si="3"/>
        <v>14536796</v>
      </c>
      <c r="M85" s="26">
        <f t="shared" si="2"/>
        <v>5398272</v>
      </c>
      <c r="N85" s="26">
        <v>749760</v>
      </c>
      <c r="O85" s="26">
        <v>4648512</v>
      </c>
      <c r="P85" s="26">
        <v>5667840</v>
      </c>
      <c r="Q85" s="26">
        <v>3470684</v>
      </c>
      <c r="R85" s="29"/>
      <c r="S85" s="29" t="s">
        <v>284</v>
      </c>
      <c r="T85" s="29" t="s">
        <v>156</v>
      </c>
      <c r="U85" s="29" t="s">
        <v>36</v>
      </c>
      <c r="V85" s="29" t="s">
        <v>37</v>
      </c>
      <c r="W85" s="30" t="s">
        <v>157</v>
      </c>
      <c r="X85" s="84" t="s">
        <v>39</v>
      </c>
    </row>
    <row r="86" spans="1:24" ht="99.75" customHeight="1" x14ac:dyDescent="0.25">
      <c r="A86" s="17" t="s">
        <v>285</v>
      </c>
      <c r="B86" s="18">
        <v>81131504</v>
      </c>
      <c r="C86" s="19" t="s">
        <v>286</v>
      </c>
      <c r="D86" s="20">
        <v>43921</v>
      </c>
      <c r="E86" s="21" t="s">
        <v>46</v>
      </c>
      <c r="F86" s="170" t="s">
        <v>46</v>
      </c>
      <c r="G86" s="22">
        <v>5</v>
      </c>
      <c r="H86" s="23" t="s">
        <v>30</v>
      </c>
      <c r="I86" s="19" t="s">
        <v>65</v>
      </c>
      <c r="J86" s="29" t="s">
        <v>287</v>
      </c>
      <c r="K86" s="24" t="s">
        <v>33</v>
      </c>
      <c r="L86" s="26">
        <f t="shared" si="3"/>
        <v>115806040</v>
      </c>
      <c r="M86" s="26">
        <f t="shared" si="2"/>
        <v>115806040</v>
      </c>
      <c r="N86" s="26">
        <v>115806040</v>
      </c>
      <c r="O86" s="26">
        <v>0</v>
      </c>
      <c r="P86" s="26"/>
      <c r="Q86" s="26"/>
      <c r="R86" s="29"/>
      <c r="S86" s="29" t="s">
        <v>288</v>
      </c>
      <c r="T86" s="29" t="s">
        <v>156</v>
      </c>
      <c r="U86" s="29" t="s">
        <v>36</v>
      </c>
      <c r="V86" s="29" t="s">
        <v>37</v>
      </c>
      <c r="W86" s="30" t="s">
        <v>38</v>
      </c>
      <c r="X86" s="84" t="s">
        <v>39</v>
      </c>
    </row>
    <row r="87" spans="1:24" ht="71.25" customHeight="1" x14ac:dyDescent="0.25">
      <c r="A87" s="56" t="s">
        <v>285</v>
      </c>
      <c r="B87" s="57" t="s">
        <v>289</v>
      </c>
      <c r="C87" s="58" t="s">
        <v>290</v>
      </c>
      <c r="D87" s="59">
        <v>43889</v>
      </c>
      <c r="E87" s="60" t="s">
        <v>58</v>
      </c>
      <c r="F87" s="61" t="s">
        <v>46</v>
      </c>
      <c r="G87" s="62">
        <v>8</v>
      </c>
      <c r="H87" s="60" t="s">
        <v>30</v>
      </c>
      <c r="I87" s="58" t="s">
        <v>71</v>
      </c>
      <c r="J87" s="60" t="s">
        <v>291</v>
      </c>
      <c r="K87" s="71" t="s">
        <v>33</v>
      </c>
      <c r="L87" s="66">
        <f t="shared" si="3"/>
        <v>14000000</v>
      </c>
      <c r="M87" s="66">
        <f t="shared" si="2"/>
        <v>14000000</v>
      </c>
      <c r="N87" s="66">
        <v>14000000</v>
      </c>
      <c r="O87" s="66">
        <v>0</v>
      </c>
      <c r="P87" s="66"/>
      <c r="Q87" s="66"/>
      <c r="R87" s="60" t="s">
        <v>62</v>
      </c>
      <c r="S87" s="60" t="s">
        <v>288</v>
      </c>
      <c r="T87" s="60" t="s">
        <v>156</v>
      </c>
      <c r="U87" s="60" t="s">
        <v>36</v>
      </c>
      <c r="V87" s="60" t="s">
        <v>37</v>
      </c>
      <c r="W87" s="68" t="s">
        <v>38</v>
      </c>
      <c r="X87" s="102" t="s">
        <v>39</v>
      </c>
    </row>
    <row r="88" spans="1:24" ht="42.75" customHeight="1" x14ac:dyDescent="0.25">
      <c r="A88" s="33" t="s">
        <v>285</v>
      </c>
      <c r="B88" s="34">
        <v>83111507</v>
      </c>
      <c r="C88" s="35" t="s">
        <v>292</v>
      </c>
      <c r="D88" s="37">
        <v>43889</v>
      </c>
      <c r="E88" s="38" t="s">
        <v>58</v>
      </c>
      <c r="F88" s="38" t="s">
        <v>59</v>
      </c>
      <c r="G88" s="53">
        <v>12</v>
      </c>
      <c r="H88" s="40" t="s">
        <v>30</v>
      </c>
      <c r="I88" s="41" t="s">
        <v>42</v>
      </c>
      <c r="J88" s="41" t="s">
        <v>293</v>
      </c>
      <c r="K88" s="92" t="s">
        <v>33</v>
      </c>
      <c r="L88" s="43">
        <f t="shared" si="3"/>
        <v>176278662</v>
      </c>
      <c r="M88" s="43">
        <f t="shared" si="2"/>
        <v>176278662</v>
      </c>
      <c r="N88" s="171">
        <f>163869848+2740320+9668494</f>
        <v>176278662</v>
      </c>
      <c r="O88" s="43">
        <v>0</v>
      </c>
      <c r="P88" s="43"/>
      <c r="Q88" s="43"/>
      <c r="R88" s="45" t="s">
        <v>44</v>
      </c>
      <c r="S88" s="45" t="s">
        <v>288</v>
      </c>
      <c r="T88" s="45" t="s">
        <v>156</v>
      </c>
      <c r="U88" s="45" t="s">
        <v>36</v>
      </c>
      <c r="V88" s="45" t="s">
        <v>37</v>
      </c>
      <c r="W88" s="46" t="s">
        <v>38</v>
      </c>
      <c r="X88" s="93" t="s">
        <v>39</v>
      </c>
    </row>
    <row r="89" spans="1:24" ht="42.75" customHeight="1" x14ac:dyDescent="0.25">
      <c r="A89" s="56" t="s">
        <v>285</v>
      </c>
      <c r="B89" s="57">
        <v>83111508</v>
      </c>
      <c r="C89" s="58" t="s">
        <v>294</v>
      </c>
      <c r="D89" s="59">
        <v>43951</v>
      </c>
      <c r="E89" s="74" t="s">
        <v>46</v>
      </c>
      <c r="F89" s="74" t="s">
        <v>46</v>
      </c>
      <c r="G89" s="62">
        <v>11</v>
      </c>
      <c r="H89" s="63" t="s">
        <v>30</v>
      </c>
      <c r="I89" s="71" t="s">
        <v>159</v>
      </c>
      <c r="J89" s="71" t="s">
        <v>293</v>
      </c>
      <c r="K89" s="100" t="s">
        <v>99</v>
      </c>
      <c r="L89" s="66">
        <f>+M89+P89+Q89</f>
        <v>494512396</v>
      </c>
      <c r="M89" s="66">
        <f t="shared" si="2"/>
        <v>308096511</v>
      </c>
      <c r="N89" s="66">
        <v>308096511</v>
      </c>
      <c r="O89" s="66"/>
      <c r="P89" s="66">
        <f>186415885</f>
        <v>186415885</v>
      </c>
      <c r="Q89" s="66"/>
      <c r="R89" s="60" t="s">
        <v>62</v>
      </c>
      <c r="S89" s="60" t="s">
        <v>288</v>
      </c>
      <c r="T89" s="60" t="s">
        <v>156</v>
      </c>
      <c r="U89" s="60" t="s">
        <v>36</v>
      </c>
      <c r="V89" s="60" t="s">
        <v>37</v>
      </c>
      <c r="W89" s="68" t="s">
        <v>101</v>
      </c>
      <c r="X89" s="102" t="s">
        <v>39</v>
      </c>
    </row>
    <row r="90" spans="1:24" ht="43.5" customHeight="1" x14ac:dyDescent="0.25">
      <c r="A90" s="56" t="s">
        <v>285</v>
      </c>
      <c r="B90" s="57" t="s">
        <v>295</v>
      </c>
      <c r="C90" s="58" t="s">
        <v>290</v>
      </c>
      <c r="D90" s="59">
        <v>43889</v>
      </c>
      <c r="E90" s="60" t="s">
        <v>58</v>
      </c>
      <c r="F90" s="61" t="s">
        <v>46</v>
      </c>
      <c r="G90" s="62">
        <v>8</v>
      </c>
      <c r="H90" s="60" t="s">
        <v>30</v>
      </c>
      <c r="I90" s="58" t="s">
        <v>71</v>
      </c>
      <c r="J90" s="60" t="s">
        <v>296</v>
      </c>
      <c r="K90" s="71" t="s">
        <v>33</v>
      </c>
      <c r="L90" s="66">
        <f t="shared" si="3"/>
        <v>21218000</v>
      </c>
      <c r="M90" s="66">
        <f t="shared" si="2"/>
        <v>21218000</v>
      </c>
      <c r="N90" s="66">
        <v>21218000</v>
      </c>
      <c r="O90" s="66" t="s">
        <v>100</v>
      </c>
      <c r="P90" s="66"/>
      <c r="Q90" s="66"/>
      <c r="R90" s="60" t="s">
        <v>62</v>
      </c>
      <c r="S90" s="60" t="s">
        <v>288</v>
      </c>
      <c r="T90" s="60" t="s">
        <v>156</v>
      </c>
      <c r="U90" s="60" t="s">
        <v>36</v>
      </c>
      <c r="V90" s="60" t="s">
        <v>37</v>
      </c>
      <c r="W90" s="68" t="s">
        <v>38</v>
      </c>
      <c r="X90" s="102" t="s">
        <v>39</v>
      </c>
    </row>
    <row r="91" spans="1:24" ht="99.75" customHeight="1" x14ac:dyDescent="0.25">
      <c r="A91" s="33" t="s">
        <v>297</v>
      </c>
      <c r="B91" s="34">
        <v>81112501</v>
      </c>
      <c r="C91" s="35" t="s">
        <v>298</v>
      </c>
      <c r="D91" s="37">
        <v>43861</v>
      </c>
      <c r="E91" s="38" t="s">
        <v>69</v>
      </c>
      <c r="F91" s="48" t="s">
        <v>69</v>
      </c>
      <c r="G91" s="39">
        <v>1</v>
      </c>
      <c r="H91" s="40" t="s">
        <v>30</v>
      </c>
      <c r="I91" s="35" t="s">
        <v>31</v>
      </c>
      <c r="J91" s="45" t="s">
        <v>299</v>
      </c>
      <c r="K91" s="41" t="s">
        <v>259</v>
      </c>
      <c r="L91" s="43">
        <f t="shared" si="3"/>
        <v>124398741.31</v>
      </c>
      <c r="M91" s="43">
        <f t="shared" si="2"/>
        <v>124398741.31</v>
      </c>
      <c r="N91" s="43">
        <v>124398741.31</v>
      </c>
      <c r="O91" s="43"/>
      <c r="P91" s="43"/>
      <c r="Q91" s="43"/>
      <c r="R91" s="45" t="s">
        <v>89</v>
      </c>
      <c r="S91" s="45" t="s">
        <v>300</v>
      </c>
      <c r="T91" s="45" t="s">
        <v>297</v>
      </c>
      <c r="U91" s="45" t="s">
        <v>36</v>
      </c>
      <c r="V91" s="45" t="s">
        <v>37</v>
      </c>
      <c r="W91" s="46" t="s">
        <v>157</v>
      </c>
      <c r="X91" s="93" t="s">
        <v>39</v>
      </c>
    </row>
    <row r="92" spans="1:24" ht="59.25" customHeight="1" x14ac:dyDescent="0.25">
      <c r="A92" s="56" t="s">
        <v>297</v>
      </c>
      <c r="B92" s="57" t="s">
        <v>301</v>
      </c>
      <c r="C92" s="58" t="s">
        <v>131</v>
      </c>
      <c r="D92" s="59">
        <v>43889</v>
      </c>
      <c r="E92" s="60" t="s">
        <v>58</v>
      </c>
      <c r="F92" s="61" t="s">
        <v>46</v>
      </c>
      <c r="G92" s="62">
        <v>8</v>
      </c>
      <c r="H92" s="60" t="s">
        <v>30</v>
      </c>
      <c r="I92" s="58" t="s">
        <v>71</v>
      </c>
      <c r="J92" s="60" t="s">
        <v>302</v>
      </c>
      <c r="K92" s="71" t="s">
        <v>33</v>
      </c>
      <c r="L92" s="66">
        <f t="shared" si="3"/>
        <v>31827000</v>
      </c>
      <c r="M92" s="66">
        <f t="shared" si="2"/>
        <v>31827000</v>
      </c>
      <c r="N92" s="66">
        <v>31827000</v>
      </c>
      <c r="O92" s="66"/>
      <c r="P92" s="66"/>
      <c r="Q92" s="66"/>
      <c r="R92" s="60" t="s">
        <v>62</v>
      </c>
      <c r="S92" s="60" t="s">
        <v>300</v>
      </c>
      <c r="T92" s="60" t="s">
        <v>297</v>
      </c>
      <c r="U92" s="60" t="s">
        <v>36</v>
      </c>
      <c r="V92" s="60" t="s">
        <v>37</v>
      </c>
      <c r="W92" s="68" t="s">
        <v>157</v>
      </c>
      <c r="X92" s="102" t="s">
        <v>39</v>
      </c>
    </row>
    <row r="93" spans="1:24" ht="42.75" customHeight="1" x14ac:dyDescent="0.25">
      <c r="A93" s="33" t="s">
        <v>303</v>
      </c>
      <c r="B93" s="34">
        <v>60105412</v>
      </c>
      <c r="C93" s="35" t="s">
        <v>304</v>
      </c>
      <c r="D93" s="37">
        <v>43921</v>
      </c>
      <c r="E93" s="45" t="s">
        <v>58</v>
      </c>
      <c r="F93" s="48" t="s">
        <v>58</v>
      </c>
      <c r="G93" s="173">
        <v>12</v>
      </c>
      <c r="H93" s="88" t="s">
        <v>30</v>
      </c>
      <c r="I93" s="35" t="s">
        <v>115</v>
      </c>
      <c r="J93" s="45" t="s">
        <v>305</v>
      </c>
      <c r="K93" s="41" t="s">
        <v>33</v>
      </c>
      <c r="L93" s="43">
        <f t="shared" si="3"/>
        <v>15810845400</v>
      </c>
      <c r="M93" s="43">
        <f t="shared" si="2"/>
        <v>15810845400</v>
      </c>
      <c r="N93" s="43" t="s">
        <v>100</v>
      </c>
      <c r="O93" s="43">
        <v>15810845400</v>
      </c>
      <c r="P93" s="43"/>
      <c r="Q93" s="43"/>
      <c r="R93" s="45" t="s">
        <v>89</v>
      </c>
      <c r="S93" s="45" t="s">
        <v>306</v>
      </c>
      <c r="T93" s="45" t="s">
        <v>156</v>
      </c>
      <c r="U93" s="45" t="s">
        <v>36</v>
      </c>
      <c r="V93" s="45" t="s">
        <v>37</v>
      </c>
      <c r="W93" s="46" t="s">
        <v>307</v>
      </c>
      <c r="X93" s="93" t="s">
        <v>39</v>
      </c>
    </row>
    <row r="94" spans="1:24" ht="114" customHeight="1" x14ac:dyDescent="0.25">
      <c r="A94" s="33" t="s">
        <v>303</v>
      </c>
      <c r="B94" s="34">
        <v>84131501</v>
      </c>
      <c r="C94" s="35" t="s">
        <v>308</v>
      </c>
      <c r="D94" s="36">
        <v>43833</v>
      </c>
      <c r="E94" s="45" t="s">
        <v>137</v>
      </c>
      <c r="F94" s="48" t="s">
        <v>69</v>
      </c>
      <c r="G94" s="173">
        <v>10.5</v>
      </c>
      <c r="H94" s="88" t="s">
        <v>30</v>
      </c>
      <c r="I94" s="35" t="s">
        <v>65</v>
      </c>
      <c r="J94" s="174" t="s">
        <v>309</v>
      </c>
      <c r="K94" s="41" t="s">
        <v>33</v>
      </c>
      <c r="L94" s="43">
        <f t="shared" si="3"/>
        <v>752719920</v>
      </c>
      <c r="M94" s="43">
        <f t="shared" si="2"/>
        <v>752719920</v>
      </c>
      <c r="N94" s="43" t="s">
        <v>100</v>
      </c>
      <c r="O94" s="43">
        <v>752719920</v>
      </c>
      <c r="P94" s="43"/>
      <c r="Q94" s="43"/>
      <c r="R94" s="45" t="s">
        <v>89</v>
      </c>
      <c r="S94" s="45" t="s">
        <v>306</v>
      </c>
      <c r="T94" s="45" t="s">
        <v>156</v>
      </c>
      <c r="U94" s="45" t="s">
        <v>36</v>
      </c>
      <c r="V94" s="45" t="s">
        <v>37</v>
      </c>
      <c r="W94" s="46" t="s">
        <v>307</v>
      </c>
      <c r="X94" s="93" t="s">
        <v>39</v>
      </c>
    </row>
    <row r="95" spans="1:24" ht="114" customHeight="1" x14ac:dyDescent="0.25">
      <c r="A95" s="17" t="s">
        <v>303</v>
      </c>
      <c r="B95" s="18">
        <v>84131502</v>
      </c>
      <c r="C95" s="19" t="s">
        <v>310</v>
      </c>
      <c r="D95" s="49"/>
      <c r="E95" s="29"/>
      <c r="F95" s="32"/>
      <c r="G95" s="175"/>
      <c r="H95" s="89"/>
      <c r="I95" s="19"/>
      <c r="J95" s="29" t="s">
        <v>311</v>
      </c>
      <c r="K95" s="24" t="s">
        <v>99</v>
      </c>
      <c r="L95" s="26">
        <f>+M95+P95+Q95</f>
        <v>728459</v>
      </c>
      <c r="M95" s="26">
        <f t="shared" si="2"/>
        <v>728459</v>
      </c>
      <c r="N95" s="26"/>
      <c r="O95" s="82">
        <f>753448379-752719920</f>
        <v>728459</v>
      </c>
      <c r="P95" s="26"/>
      <c r="Q95" s="26"/>
      <c r="R95" s="29" t="s">
        <v>207</v>
      </c>
      <c r="S95" s="29" t="s">
        <v>306</v>
      </c>
      <c r="T95" s="29" t="s">
        <v>156</v>
      </c>
      <c r="U95" s="29" t="s">
        <v>36</v>
      </c>
      <c r="V95" s="29" t="s">
        <v>37</v>
      </c>
      <c r="W95" s="30" t="s">
        <v>312</v>
      </c>
      <c r="X95" s="84" t="s">
        <v>39</v>
      </c>
    </row>
    <row r="96" spans="1:24" ht="42.75" customHeight="1" x14ac:dyDescent="0.25">
      <c r="A96" s="56" t="s">
        <v>313</v>
      </c>
      <c r="B96" s="57">
        <v>81112211</v>
      </c>
      <c r="C96" s="58" t="s">
        <v>314</v>
      </c>
      <c r="D96" s="59">
        <v>43903</v>
      </c>
      <c r="E96" s="60" t="s">
        <v>58</v>
      </c>
      <c r="F96" s="73" t="s">
        <v>58</v>
      </c>
      <c r="G96" s="176">
        <v>9</v>
      </c>
      <c r="H96" s="63" t="s">
        <v>30</v>
      </c>
      <c r="I96" s="58" t="s">
        <v>31</v>
      </c>
      <c r="J96" s="60" t="s">
        <v>315</v>
      </c>
      <c r="K96" s="177" t="s">
        <v>316</v>
      </c>
      <c r="L96" s="66">
        <f t="shared" si="3"/>
        <v>64252920</v>
      </c>
      <c r="M96" s="66">
        <f t="shared" si="2"/>
        <v>64252920</v>
      </c>
      <c r="N96" s="66">
        <v>64252920</v>
      </c>
      <c r="O96" s="66">
        <v>0</v>
      </c>
      <c r="P96" s="66"/>
      <c r="Q96" s="66"/>
      <c r="R96" s="60" t="s">
        <v>62</v>
      </c>
      <c r="S96" s="60" t="s">
        <v>317</v>
      </c>
      <c r="T96" s="60" t="s">
        <v>156</v>
      </c>
      <c r="U96" s="60" t="s">
        <v>36</v>
      </c>
      <c r="V96" s="60" t="s">
        <v>37</v>
      </c>
      <c r="W96" s="68" t="s">
        <v>307</v>
      </c>
      <c r="X96" s="102" t="s">
        <v>39</v>
      </c>
    </row>
    <row r="97" spans="1:24" ht="38.25" customHeight="1" x14ac:dyDescent="0.25">
      <c r="A97" s="56" t="s">
        <v>313</v>
      </c>
      <c r="B97" s="57" t="s">
        <v>318</v>
      </c>
      <c r="C97" s="58" t="s">
        <v>319</v>
      </c>
      <c r="D97" s="59">
        <v>43903</v>
      </c>
      <c r="E97" s="60" t="s">
        <v>59</v>
      </c>
      <c r="F97" s="74" t="s">
        <v>46</v>
      </c>
      <c r="G97" s="176">
        <v>9</v>
      </c>
      <c r="H97" s="178" t="s">
        <v>30</v>
      </c>
      <c r="I97" s="58" t="s">
        <v>180</v>
      </c>
      <c r="J97" s="60" t="s">
        <v>320</v>
      </c>
      <c r="K97" s="177" t="s">
        <v>321</v>
      </c>
      <c r="L97" s="66">
        <f t="shared" si="3"/>
        <v>120000000</v>
      </c>
      <c r="M97" s="66">
        <f t="shared" si="2"/>
        <v>120000000</v>
      </c>
      <c r="N97" s="66">
        <v>60000000</v>
      </c>
      <c r="O97" s="66">
        <v>60000000</v>
      </c>
      <c r="P97" s="66"/>
      <c r="Q97" s="66"/>
      <c r="R97" s="60" t="s">
        <v>62</v>
      </c>
      <c r="S97" s="60" t="s">
        <v>317</v>
      </c>
      <c r="T97" s="60" t="s">
        <v>156</v>
      </c>
      <c r="U97" s="60" t="s">
        <v>36</v>
      </c>
      <c r="V97" s="60" t="s">
        <v>37</v>
      </c>
      <c r="W97" s="68" t="s">
        <v>307</v>
      </c>
      <c r="X97" s="102" t="s">
        <v>39</v>
      </c>
    </row>
    <row r="98" spans="1:24" ht="57" customHeight="1" x14ac:dyDescent="0.25">
      <c r="A98" s="17" t="s">
        <v>313</v>
      </c>
      <c r="B98" s="18">
        <v>44103103</v>
      </c>
      <c r="C98" s="19" t="s">
        <v>322</v>
      </c>
      <c r="D98" s="20">
        <v>43951</v>
      </c>
      <c r="E98" s="21" t="s">
        <v>46</v>
      </c>
      <c r="F98" s="170" t="s">
        <v>29</v>
      </c>
      <c r="G98" s="175" t="s">
        <v>76</v>
      </c>
      <c r="H98" s="89" t="s">
        <v>30</v>
      </c>
      <c r="I98" s="19" t="s">
        <v>159</v>
      </c>
      <c r="J98" s="29" t="s">
        <v>323</v>
      </c>
      <c r="K98" s="179" t="s">
        <v>324</v>
      </c>
      <c r="L98" s="26">
        <f t="shared" si="3"/>
        <v>200000000</v>
      </c>
      <c r="M98" s="26">
        <f t="shared" si="2"/>
        <v>200000000</v>
      </c>
      <c r="N98" s="26">
        <v>140000000</v>
      </c>
      <c r="O98" s="26">
        <v>60000000</v>
      </c>
      <c r="P98" s="26"/>
      <c r="Q98" s="26"/>
      <c r="R98" s="29"/>
      <c r="S98" s="29" t="s">
        <v>317</v>
      </c>
      <c r="T98" s="29" t="s">
        <v>156</v>
      </c>
      <c r="U98" s="29" t="s">
        <v>36</v>
      </c>
      <c r="V98" s="29" t="s">
        <v>37</v>
      </c>
      <c r="W98" s="30" t="s">
        <v>307</v>
      </c>
      <c r="X98" s="84" t="s">
        <v>39</v>
      </c>
    </row>
    <row r="99" spans="1:24" ht="71.25" customHeight="1" x14ac:dyDescent="0.25">
      <c r="A99" s="56" t="s">
        <v>325</v>
      </c>
      <c r="B99" s="57" t="s">
        <v>318</v>
      </c>
      <c r="C99" s="58" t="s">
        <v>326</v>
      </c>
      <c r="D99" s="59">
        <v>43889</v>
      </c>
      <c r="E99" s="74" t="s">
        <v>58</v>
      </c>
      <c r="F99" s="172" t="s">
        <v>58</v>
      </c>
      <c r="G99" s="176" t="s">
        <v>76</v>
      </c>
      <c r="H99" s="178" t="s">
        <v>30</v>
      </c>
      <c r="I99" s="58" t="s">
        <v>180</v>
      </c>
      <c r="J99" s="60" t="s">
        <v>327</v>
      </c>
      <c r="K99" s="177" t="s">
        <v>328</v>
      </c>
      <c r="L99" s="66">
        <f>+M99+P99+Q99</f>
        <v>100000000</v>
      </c>
      <c r="M99" s="66">
        <f t="shared" si="2"/>
        <v>100000000</v>
      </c>
      <c r="N99" s="66">
        <v>100000000</v>
      </c>
      <c r="O99" s="66" t="s">
        <v>100</v>
      </c>
      <c r="P99" s="66"/>
      <c r="Q99" s="66"/>
      <c r="R99" s="60" t="s">
        <v>62</v>
      </c>
      <c r="S99" s="60" t="s">
        <v>306</v>
      </c>
      <c r="T99" s="60" t="s">
        <v>156</v>
      </c>
      <c r="U99" s="60" t="s">
        <v>36</v>
      </c>
      <c r="V99" s="60" t="s">
        <v>37</v>
      </c>
      <c r="W99" s="68" t="s">
        <v>307</v>
      </c>
      <c r="X99" s="102" t="s">
        <v>39</v>
      </c>
    </row>
    <row r="100" spans="1:24" ht="71.25" customHeight="1" x14ac:dyDescent="0.25">
      <c r="A100" s="56" t="s">
        <v>325</v>
      </c>
      <c r="B100" s="57" t="s">
        <v>329</v>
      </c>
      <c r="C100" s="58" t="s">
        <v>330</v>
      </c>
      <c r="D100" s="59">
        <v>43889</v>
      </c>
      <c r="E100" s="74" t="s">
        <v>58</v>
      </c>
      <c r="F100" s="172" t="s">
        <v>58</v>
      </c>
      <c r="G100" s="176">
        <v>1</v>
      </c>
      <c r="H100" s="178" t="s">
        <v>30</v>
      </c>
      <c r="I100" s="58" t="s">
        <v>209</v>
      </c>
      <c r="J100" s="60" t="s">
        <v>331</v>
      </c>
      <c r="K100" s="177" t="s">
        <v>332</v>
      </c>
      <c r="L100" s="66">
        <f>+M100+P100+Q100</f>
        <v>10000000</v>
      </c>
      <c r="M100" s="66">
        <f t="shared" si="2"/>
        <v>10000000</v>
      </c>
      <c r="N100" s="66">
        <v>10000000</v>
      </c>
      <c r="O100" s="66" t="s">
        <v>100</v>
      </c>
      <c r="P100" s="66"/>
      <c r="Q100" s="66"/>
      <c r="R100" s="60" t="s">
        <v>62</v>
      </c>
      <c r="S100" s="60" t="s">
        <v>306</v>
      </c>
      <c r="T100" s="60" t="s">
        <v>156</v>
      </c>
      <c r="U100" s="60" t="s">
        <v>36</v>
      </c>
      <c r="V100" s="60" t="s">
        <v>37</v>
      </c>
      <c r="W100" s="68" t="s">
        <v>307</v>
      </c>
      <c r="X100" s="102" t="s">
        <v>39</v>
      </c>
    </row>
    <row r="101" spans="1:24" ht="42.75" customHeight="1" x14ac:dyDescent="0.25">
      <c r="A101" s="33" t="s">
        <v>325</v>
      </c>
      <c r="B101" s="34" t="s">
        <v>333</v>
      </c>
      <c r="C101" s="35" t="s">
        <v>334</v>
      </c>
      <c r="D101" s="180"/>
      <c r="E101" s="38"/>
      <c r="F101" s="38"/>
      <c r="G101" s="53" t="s">
        <v>76</v>
      </c>
      <c r="H101" s="40" t="s">
        <v>30</v>
      </c>
      <c r="I101" s="41" t="s">
        <v>42</v>
      </c>
      <c r="J101" s="41" t="s">
        <v>335</v>
      </c>
      <c r="K101" s="92" t="s">
        <v>33</v>
      </c>
      <c r="L101" s="43">
        <f t="shared" si="3"/>
        <v>332618904</v>
      </c>
      <c r="M101" s="43">
        <f t="shared" si="2"/>
        <v>332618904</v>
      </c>
      <c r="N101" s="43">
        <v>332618904</v>
      </c>
      <c r="O101" s="43" t="s">
        <v>100</v>
      </c>
      <c r="P101" s="43"/>
      <c r="Q101" s="43"/>
      <c r="R101" s="45" t="s">
        <v>44</v>
      </c>
      <c r="S101" s="45" t="s">
        <v>306</v>
      </c>
      <c r="T101" s="45" t="s">
        <v>156</v>
      </c>
      <c r="U101" s="45" t="s">
        <v>36</v>
      </c>
      <c r="V101" s="45" t="s">
        <v>37</v>
      </c>
      <c r="W101" s="46" t="s">
        <v>307</v>
      </c>
      <c r="X101" s="93" t="s">
        <v>39</v>
      </c>
    </row>
    <row r="102" spans="1:24" ht="57" customHeight="1" x14ac:dyDescent="0.25">
      <c r="A102" s="17" t="s">
        <v>325</v>
      </c>
      <c r="B102" s="18" t="s">
        <v>333</v>
      </c>
      <c r="C102" s="19" t="s">
        <v>336</v>
      </c>
      <c r="D102" s="20">
        <v>43955</v>
      </c>
      <c r="E102" s="21" t="s">
        <v>46</v>
      </c>
      <c r="F102" s="170" t="s">
        <v>29</v>
      </c>
      <c r="G102" s="175">
        <v>6</v>
      </c>
      <c r="H102" s="89" t="s">
        <v>30</v>
      </c>
      <c r="I102" s="19" t="s">
        <v>31</v>
      </c>
      <c r="J102" s="29" t="s">
        <v>335</v>
      </c>
      <c r="K102" s="179" t="s">
        <v>33</v>
      </c>
      <c r="L102" s="26">
        <f t="shared" si="3"/>
        <v>1384519686</v>
      </c>
      <c r="M102" s="26">
        <f t="shared" si="2"/>
        <v>331915904</v>
      </c>
      <c r="N102" s="26">
        <f>330517864+2101040-703000</f>
        <v>331915904</v>
      </c>
      <c r="O102" s="26" t="s">
        <v>100</v>
      </c>
      <c r="P102" s="26">
        <v>691219378</v>
      </c>
      <c r="Q102" s="26">
        <v>361384404</v>
      </c>
      <c r="R102" s="29"/>
      <c r="S102" s="29" t="s">
        <v>306</v>
      </c>
      <c r="T102" s="29" t="s">
        <v>156</v>
      </c>
      <c r="U102" s="29" t="s">
        <v>36</v>
      </c>
      <c r="V102" s="29" t="s">
        <v>37</v>
      </c>
      <c r="W102" s="30" t="s">
        <v>307</v>
      </c>
      <c r="X102" s="84" t="s">
        <v>39</v>
      </c>
    </row>
    <row r="103" spans="1:24" ht="42.75" customHeight="1" x14ac:dyDescent="0.25">
      <c r="A103" s="33" t="s">
        <v>325</v>
      </c>
      <c r="B103" s="34">
        <v>78102201</v>
      </c>
      <c r="C103" s="35" t="s">
        <v>337</v>
      </c>
      <c r="D103" s="37"/>
      <c r="E103" s="38"/>
      <c r="F103" s="38"/>
      <c r="G103" s="53" t="s">
        <v>76</v>
      </c>
      <c r="H103" s="40" t="s">
        <v>30</v>
      </c>
      <c r="I103" s="41" t="s">
        <v>42</v>
      </c>
      <c r="J103" s="41" t="s">
        <v>338</v>
      </c>
      <c r="K103" s="92" t="s">
        <v>33</v>
      </c>
      <c r="L103" s="43">
        <f t="shared" si="3"/>
        <v>224910000</v>
      </c>
      <c r="M103" s="43">
        <f t="shared" si="2"/>
        <v>224910000</v>
      </c>
      <c r="N103" s="43">
        <v>224910000</v>
      </c>
      <c r="O103" s="43" t="s">
        <v>100</v>
      </c>
      <c r="P103" s="43"/>
      <c r="Q103" s="43"/>
      <c r="R103" s="45" t="s">
        <v>44</v>
      </c>
      <c r="S103" s="45" t="s">
        <v>306</v>
      </c>
      <c r="T103" s="45" t="s">
        <v>156</v>
      </c>
      <c r="U103" s="45" t="s">
        <v>36</v>
      </c>
      <c r="V103" s="45" t="s">
        <v>37</v>
      </c>
      <c r="W103" s="46" t="s">
        <v>307</v>
      </c>
      <c r="X103" s="93" t="s">
        <v>39</v>
      </c>
    </row>
    <row r="104" spans="1:24" ht="57" customHeight="1" x14ac:dyDescent="0.25">
      <c r="A104" s="17" t="s">
        <v>325</v>
      </c>
      <c r="B104" s="18">
        <v>78102201</v>
      </c>
      <c r="C104" s="19" t="s">
        <v>339</v>
      </c>
      <c r="D104" s="20">
        <v>43955</v>
      </c>
      <c r="E104" s="21" t="s">
        <v>46</v>
      </c>
      <c r="F104" s="170" t="s">
        <v>29</v>
      </c>
      <c r="G104" s="175">
        <v>6</v>
      </c>
      <c r="H104" s="89" t="s">
        <v>30</v>
      </c>
      <c r="I104" s="19" t="s">
        <v>31</v>
      </c>
      <c r="J104" s="29" t="s">
        <v>338</v>
      </c>
      <c r="K104" s="179" t="s">
        <v>33</v>
      </c>
      <c r="L104" s="26">
        <f t="shared" si="3"/>
        <v>731007822</v>
      </c>
      <c r="M104" s="26">
        <f t="shared" si="2"/>
        <v>173945940</v>
      </c>
      <c r="N104" s="26">
        <v>173945940</v>
      </c>
      <c r="O104" s="26" t="s">
        <v>100</v>
      </c>
      <c r="P104" s="26">
        <v>365286480</v>
      </c>
      <c r="Q104" s="26">
        <v>191775402</v>
      </c>
      <c r="R104" s="29"/>
      <c r="S104" s="29" t="s">
        <v>306</v>
      </c>
      <c r="T104" s="29" t="s">
        <v>156</v>
      </c>
      <c r="U104" s="29" t="s">
        <v>36</v>
      </c>
      <c r="V104" s="29" t="s">
        <v>37</v>
      </c>
      <c r="W104" s="30" t="s">
        <v>307</v>
      </c>
      <c r="X104" s="84" t="s">
        <v>39</v>
      </c>
    </row>
    <row r="105" spans="1:24" ht="42.75" customHeight="1" x14ac:dyDescent="0.25">
      <c r="A105" s="33" t="s">
        <v>340</v>
      </c>
      <c r="B105" s="34">
        <v>78181701</v>
      </c>
      <c r="C105" s="35" t="s">
        <v>341</v>
      </c>
      <c r="D105" s="37"/>
      <c r="E105" s="38"/>
      <c r="F105" s="38"/>
      <c r="G105" s="53">
        <v>11</v>
      </c>
      <c r="H105" s="40" t="s">
        <v>30</v>
      </c>
      <c r="I105" s="41" t="s">
        <v>42</v>
      </c>
      <c r="J105" s="41" t="s">
        <v>342</v>
      </c>
      <c r="K105" s="92" t="s">
        <v>343</v>
      </c>
      <c r="L105" s="43">
        <f t="shared" si="3"/>
        <v>71005142</v>
      </c>
      <c r="M105" s="43">
        <f t="shared" si="2"/>
        <v>71005142</v>
      </c>
      <c r="N105" s="43">
        <f>71005142</f>
        <v>71005142</v>
      </c>
      <c r="O105" s="43">
        <v>0</v>
      </c>
      <c r="P105" s="43"/>
      <c r="Q105" s="43"/>
      <c r="R105" s="45" t="s">
        <v>44</v>
      </c>
      <c r="S105" s="45" t="s">
        <v>344</v>
      </c>
      <c r="T105" s="45" t="s">
        <v>156</v>
      </c>
      <c r="U105" s="45" t="s">
        <v>36</v>
      </c>
      <c r="V105" s="45" t="s">
        <v>37</v>
      </c>
      <c r="W105" s="46" t="s">
        <v>157</v>
      </c>
      <c r="X105" s="93" t="s">
        <v>39</v>
      </c>
    </row>
    <row r="106" spans="1:24" ht="42.75" customHeight="1" x14ac:dyDescent="0.25">
      <c r="A106" s="17" t="s">
        <v>340</v>
      </c>
      <c r="B106" s="18">
        <v>78181702</v>
      </c>
      <c r="C106" s="19" t="s">
        <v>345</v>
      </c>
      <c r="D106" s="20">
        <v>44078</v>
      </c>
      <c r="E106" s="21" t="s">
        <v>187</v>
      </c>
      <c r="F106" s="21" t="s">
        <v>241</v>
      </c>
      <c r="G106" s="80">
        <v>12</v>
      </c>
      <c r="H106" s="23" t="s">
        <v>30</v>
      </c>
      <c r="I106" s="24" t="s">
        <v>346</v>
      </c>
      <c r="J106" s="24" t="s">
        <v>342</v>
      </c>
      <c r="K106" s="96" t="s">
        <v>347</v>
      </c>
      <c r="L106" s="26">
        <f>+M106+P106+Q106</f>
        <v>149275531.35000002</v>
      </c>
      <c r="M106" s="26">
        <f t="shared" si="2"/>
        <v>7875000</v>
      </c>
      <c r="N106" s="26">
        <f>7875000</f>
        <v>7875000</v>
      </c>
      <c r="O106" s="26"/>
      <c r="P106" s="26">
        <v>87690252</v>
      </c>
      <c r="Q106" s="26">
        <v>53710279.350000009</v>
      </c>
      <c r="R106" s="29" t="s">
        <v>44</v>
      </c>
      <c r="S106" s="29" t="s">
        <v>344</v>
      </c>
      <c r="T106" s="29" t="s">
        <v>156</v>
      </c>
      <c r="U106" s="29" t="s">
        <v>36</v>
      </c>
      <c r="V106" s="29" t="s">
        <v>37</v>
      </c>
      <c r="W106" s="30" t="s">
        <v>221</v>
      </c>
      <c r="X106" s="84" t="s">
        <v>39</v>
      </c>
    </row>
    <row r="107" spans="1:24" ht="42" customHeight="1" x14ac:dyDescent="0.25">
      <c r="A107" s="33" t="s">
        <v>340</v>
      </c>
      <c r="B107" s="34" t="s">
        <v>348</v>
      </c>
      <c r="C107" s="35" t="s">
        <v>349</v>
      </c>
      <c r="D107" s="37">
        <v>44078</v>
      </c>
      <c r="E107" s="38" t="s">
        <v>187</v>
      </c>
      <c r="F107" s="38" t="s">
        <v>241</v>
      </c>
      <c r="G107" s="53">
        <v>11</v>
      </c>
      <c r="H107" s="40" t="s">
        <v>30</v>
      </c>
      <c r="I107" s="41" t="s">
        <v>42</v>
      </c>
      <c r="J107" s="41" t="s">
        <v>350</v>
      </c>
      <c r="K107" s="92" t="s">
        <v>351</v>
      </c>
      <c r="L107" s="43">
        <f t="shared" si="3"/>
        <v>182770743</v>
      </c>
      <c r="M107" s="43">
        <f t="shared" si="2"/>
        <v>182770743</v>
      </c>
      <c r="N107" s="43">
        <f>164770743+18000000</f>
        <v>182770743</v>
      </c>
      <c r="O107" s="43">
        <v>0</v>
      </c>
      <c r="P107" s="43"/>
      <c r="Q107" s="43"/>
      <c r="R107" s="45" t="s">
        <v>44</v>
      </c>
      <c r="S107" s="45" t="s">
        <v>344</v>
      </c>
      <c r="T107" s="45" t="s">
        <v>156</v>
      </c>
      <c r="U107" s="45" t="s">
        <v>36</v>
      </c>
      <c r="V107" s="45" t="s">
        <v>37</v>
      </c>
      <c r="W107" s="46" t="s">
        <v>157</v>
      </c>
      <c r="X107" s="93" t="s">
        <v>39</v>
      </c>
    </row>
    <row r="108" spans="1:24" ht="42" customHeight="1" x14ac:dyDescent="0.25">
      <c r="A108" s="17" t="s">
        <v>340</v>
      </c>
      <c r="B108" s="18" t="s">
        <v>352</v>
      </c>
      <c r="C108" s="19" t="s">
        <v>353</v>
      </c>
      <c r="D108" s="20">
        <v>44078</v>
      </c>
      <c r="E108" s="21" t="s">
        <v>187</v>
      </c>
      <c r="F108" s="21" t="s">
        <v>241</v>
      </c>
      <c r="G108" s="80">
        <v>12</v>
      </c>
      <c r="H108" s="23" t="s">
        <v>30</v>
      </c>
      <c r="I108" s="24" t="s">
        <v>176</v>
      </c>
      <c r="J108" s="24" t="s">
        <v>350</v>
      </c>
      <c r="K108" s="96" t="s">
        <v>354</v>
      </c>
      <c r="L108" s="26">
        <f>+M108+P108+Q108</f>
        <v>570252544</v>
      </c>
      <c r="M108" s="82">
        <f t="shared" si="2"/>
        <v>18252544</v>
      </c>
      <c r="N108" s="26">
        <v>18252544</v>
      </c>
      <c r="O108" s="26"/>
      <c r="P108" s="26">
        <v>340000000</v>
      </c>
      <c r="Q108" s="26">
        <v>212000000</v>
      </c>
      <c r="R108" s="29"/>
      <c r="S108" s="29" t="s">
        <v>344</v>
      </c>
      <c r="T108" s="29" t="s">
        <v>156</v>
      </c>
      <c r="U108" s="29" t="s">
        <v>36</v>
      </c>
      <c r="V108" s="29" t="s">
        <v>37</v>
      </c>
      <c r="W108" s="30" t="s">
        <v>221</v>
      </c>
      <c r="X108" s="84" t="s">
        <v>39</v>
      </c>
    </row>
    <row r="109" spans="1:24" ht="42" customHeight="1" x14ac:dyDescent="0.25">
      <c r="A109" s="33" t="s">
        <v>340</v>
      </c>
      <c r="B109" s="34" t="s">
        <v>355</v>
      </c>
      <c r="C109" s="35" t="s">
        <v>356</v>
      </c>
      <c r="D109" s="37"/>
      <c r="E109" s="38"/>
      <c r="F109" s="38"/>
      <c r="G109" s="53">
        <v>11</v>
      </c>
      <c r="H109" s="40" t="s">
        <v>30</v>
      </c>
      <c r="I109" s="41" t="s">
        <v>42</v>
      </c>
      <c r="J109" s="41" t="s">
        <v>357</v>
      </c>
      <c r="K109" s="92" t="s">
        <v>358</v>
      </c>
      <c r="L109" s="43">
        <f t="shared" si="3"/>
        <v>137765002.3545455</v>
      </c>
      <c r="M109" s="43">
        <f t="shared" si="2"/>
        <v>137765002.3545455</v>
      </c>
      <c r="N109" s="43">
        <f>150915298-13150295.6454545</f>
        <v>137765002.3545455</v>
      </c>
      <c r="O109" s="43">
        <v>0</v>
      </c>
      <c r="P109" s="43"/>
      <c r="Q109" s="43"/>
      <c r="R109" s="45" t="s">
        <v>44</v>
      </c>
      <c r="S109" s="45" t="s">
        <v>344</v>
      </c>
      <c r="T109" s="45" t="s">
        <v>156</v>
      </c>
      <c r="U109" s="45" t="s">
        <v>36</v>
      </c>
      <c r="V109" s="45" t="s">
        <v>37</v>
      </c>
      <c r="W109" s="46" t="s">
        <v>157</v>
      </c>
      <c r="X109" s="93" t="s">
        <v>39</v>
      </c>
    </row>
    <row r="110" spans="1:24" ht="42" customHeight="1" x14ac:dyDescent="0.25">
      <c r="A110" s="17" t="s">
        <v>340</v>
      </c>
      <c r="B110" s="18" t="s">
        <v>359</v>
      </c>
      <c r="C110" s="19" t="s">
        <v>360</v>
      </c>
      <c r="D110" s="20">
        <v>44078</v>
      </c>
      <c r="E110" s="21" t="s">
        <v>147</v>
      </c>
      <c r="F110" s="21" t="s">
        <v>147</v>
      </c>
      <c r="G110" s="80">
        <v>1</v>
      </c>
      <c r="H110" s="23" t="s">
        <v>30</v>
      </c>
      <c r="I110" s="24" t="s">
        <v>176</v>
      </c>
      <c r="J110" s="24" t="s">
        <v>361</v>
      </c>
      <c r="K110" s="96" t="s">
        <v>358</v>
      </c>
      <c r="L110" s="26">
        <f>+M110+P110+Q110</f>
        <v>258245890.2954545</v>
      </c>
      <c r="M110" s="26">
        <f t="shared" si="2"/>
        <v>13150295.6454545</v>
      </c>
      <c r="N110" s="82">
        <v>13150295.6454545</v>
      </c>
      <c r="O110" s="26"/>
      <c r="P110" s="26">
        <v>151997268</v>
      </c>
      <c r="Q110" s="26">
        <v>93098326.650000006</v>
      </c>
      <c r="R110" s="29" t="s">
        <v>44</v>
      </c>
      <c r="S110" s="29" t="s">
        <v>344</v>
      </c>
      <c r="T110" s="29" t="s">
        <v>156</v>
      </c>
      <c r="U110" s="29" t="s">
        <v>36</v>
      </c>
      <c r="V110" s="29" t="s">
        <v>37</v>
      </c>
      <c r="W110" s="30" t="s">
        <v>221</v>
      </c>
      <c r="X110" s="84" t="s">
        <v>39</v>
      </c>
    </row>
    <row r="111" spans="1:24" ht="57" customHeight="1" x14ac:dyDescent="0.25">
      <c r="A111" s="33" t="s">
        <v>340</v>
      </c>
      <c r="B111" s="34" t="s">
        <v>362</v>
      </c>
      <c r="C111" s="35" t="s">
        <v>363</v>
      </c>
      <c r="D111" s="37">
        <v>44022</v>
      </c>
      <c r="E111" s="38" t="s">
        <v>147</v>
      </c>
      <c r="F111" s="38" t="s">
        <v>187</v>
      </c>
      <c r="G111" s="53">
        <v>10</v>
      </c>
      <c r="H111" s="40" t="s">
        <v>30</v>
      </c>
      <c r="I111" s="41" t="s">
        <v>42</v>
      </c>
      <c r="J111" s="41" t="s">
        <v>364</v>
      </c>
      <c r="K111" s="92" t="s">
        <v>365</v>
      </c>
      <c r="L111" s="43">
        <f t="shared" si="3"/>
        <v>669030518</v>
      </c>
      <c r="M111" s="43">
        <f t="shared" si="2"/>
        <v>669030518</v>
      </c>
      <c r="N111" s="43">
        <f>213543660+362053412</f>
        <v>575597072</v>
      </c>
      <c r="O111" s="43">
        <v>93433446</v>
      </c>
      <c r="P111" s="43"/>
      <c r="Q111" s="43"/>
      <c r="R111" s="45" t="s">
        <v>44</v>
      </c>
      <c r="S111" s="45" t="s">
        <v>344</v>
      </c>
      <c r="T111" s="45" t="s">
        <v>156</v>
      </c>
      <c r="U111" s="45" t="s">
        <v>36</v>
      </c>
      <c r="V111" s="45" t="s">
        <v>37</v>
      </c>
      <c r="W111" s="46" t="s">
        <v>157</v>
      </c>
      <c r="X111" s="93" t="s">
        <v>39</v>
      </c>
    </row>
    <row r="112" spans="1:24" ht="42.75" customHeight="1" x14ac:dyDescent="0.25">
      <c r="A112" s="17" t="s">
        <v>340</v>
      </c>
      <c r="B112" s="179" t="s">
        <v>362</v>
      </c>
      <c r="C112" s="181" t="s">
        <v>366</v>
      </c>
      <c r="D112" s="20">
        <v>44022</v>
      </c>
      <c r="E112" s="109" t="s">
        <v>147</v>
      </c>
      <c r="F112" s="55" t="s">
        <v>187</v>
      </c>
      <c r="G112" s="30">
        <v>2</v>
      </c>
      <c r="H112" s="179" t="s">
        <v>30</v>
      </c>
      <c r="I112" s="182" t="s">
        <v>115</v>
      </c>
      <c r="J112" s="179" t="s">
        <v>364</v>
      </c>
      <c r="K112" s="183" t="s">
        <v>365</v>
      </c>
      <c r="L112" s="26">
        <f t="shared" si="3"/>
        <v>1890177030</v>
      </c>
      <c r="M112" s="26">
        <f t="shared" si="2"/>
        <v>89047431</v>
      </c>
      <c r="N112" s="26">
        <f>117301777-50233599</f>
        <v>67068178</v>
      </c>
      <c r="O112" s="82">
        <v>21979253</v>
      </c>
      <c r="P112" s="26">
        <v>1116979596</v>
      </c>
      <c r="Q112" s="26">
        <v>684150003</v>
      </c>
      <c r="R112" s="29"/>
      <c r="S112" s="29" t="s">
        <v>344</v>
      </c>
      <c r="T112" s="29" t="s">
        <v>156</v>
      </c>
      <c r="U112" s="29" t="s">
        <v>36</v>
      </c>
      <c r="V112" s="29" t="s">
        <v>37</v>
      </c>
      <c r="W112" s="30" t="s">
        <v>157</v>
      </c>
      <c r="X112" s="184" t="s">
        <v>39</v>
      </c>
    </row>
    <row r="113" spans="1:24" ht="71.25" customHeight="1" x14ac:dyDescent="0.25">
      <c r="A113" s="33" t="s">
        <v>340</v>
      </c>
      <c r="B113" s="34" t="s">
        <v>362</v>
      </c>
      <c r="C113" s="35" t="s">
        <v>367</v>
      </c>
      <c r="D113" s="37">
        <v>44071</v>
      </c>
      <c r="E113" s="38" t="s">
        <v>147</v>
      </c>
      <c r="F113" s="38" t="s">
        <v>241</v>
      </c>
      <c r="G113" s="53">
        <v>10.5</v>
      </c>
      <c r="H113" s="40" t="s">
        <v>30</v>
      </c>
      <c r="I113" s="41" t="s">
        <v>42</v>
      </c>
      <c r="J113" s="41" t="s">
        <v>364</v>
      </c>
      <c r="K113" s="92" t="s">
        <v>33</v>
      </c>
      <c r="L113" s="43">
        <f t="shared" si="3"/>
        <v>1209406792.7537501</v>
      </c>
      <c r="M113" s="43">
        <f t="shared" si="2"/>
        <v>1209406792.7537501</v>
      </c>
      <c r="N113" s="43">
        <v>1141899414.7537501</v>
      </c>
      <c r="O113" s="86">
        <v>67507378</v>
      </c>
      <c r="P113" s="43"/>
      <c r="Q113" s="43"/>
      <c r="R113" s="45" t="s">
        <v>44</v>
      </c>
      <c r="S113" s="45" t="s">
        <v>344</v>
      </c>
      <c r="T113" s="45" t="s">
        <v>156</v>
      </c>
      <c r="U113" s="45" t="s">
        <v>36</v>
      </c>
      <c r="V113" s="45" t="s">
        <v>37</v>
      </c>
      <c r="W113" s="46" t="s">
        <v>157</v>
      </c>
      <c r="X113" s="93" t="s">
        <v>39</v>
      </c>
    </row>
    <row r="114" spans="1:24" ht="111" customHeight="1" x14ac:dyDescent="0.25">
      <c r="A114" s="17" t="s">
        <v>340</v>
      </c>
      <c r="B114" s="179" t="s">
        <v>362</v>
      </c>
      <c r="C114" s="181" t="s">
        <v>368</v>
      </c>
      <c r="D114" s="20">
        <v>44104</v>
      </c>
      <c r="E114" s="109" t="s">
        <v>147</v>
      </c>
      <c r="F114" s="55" t="s">
        <v>187</v>
      </c>
      <c r="G114" s="30">
        <v>45</v>
      </c>
      <c r="H114" s="23" t="s">
        <v>164</v>
      </c>
      <c r="I114" s="182" t="s">
        <v>115</v>
      </c>
      <c r="J114" s="179" t="s">
        <v>364</v>
      </c>
      <c r="K114" s="185" t="s">
        <v>33</v>
      </c>
      <c r="L114" s="26">
        <f t="shared" si="3"/>
        <v>3005344341</v>
      </c>
      <c r="M114" s="26">
        <f t="shared" si="2"/>
        <v>11794774</v>
      </c>
      <c r="N114" s="82">
        <f>200389918.53587-200389918.53587</f>
        <v>0</v>
      </c>
      <c r="O114" s="82">
        <v>11794774</v>
      </c>
      <c r="P114" s="26">
        <v>1835730072</v>
      </c>
      <c r="Q114" s="26">
        <v>1157819495</v>
      </c>
      <c r="R114" s="29"/>
      <c r="S114" s="29" t="s">
        <v>344</v>
      </c>
      <c r="T114" s="29" t="s">
        <v>156</v>
      </c>
      <c r="U114" s="29" t="s">
        <v>36</v>
      </c>
      <c r="V114" s="29" t="s">
        <v>37</v>
      </c>
      <c r="W114" s="30" t="s">
        <v>157</v>
      </c>
      <c r="X114" s="184" t="s">
        <v>39</v>
      </c>
    </row>
    <row r="115" spans="1:24" ht="111" customHeight="1" x14ac:dyDescent="0.25">
      <c r="A115" s="186" t="s">
        <v>340</v>
      </c>
      <c r="B115" s="187" t="s">
        <v>362</v>
      </c>
      <c r="C115" s="188" t="s">
        <v>369</v>
      </c>
      <c r="D115" s="189"/>
      <c r="E115" s="189"/>
      <c r="F115" s="189"/>
      <c r="G115" s="190"/>
      <c r="H115" s="191"/>
      <c r="I115" s="188"/>
      <c r="J115" s="188" t="s">
        <v>364</v>
      </c>
      <c r="K115" s="192" t="s">
        <v>370</v>
      </c>
      <c r="L115" s="82">
        <f t="shared" si="3"/>
        <v>265376041</v>
      </c>
      <c r="M115" s="82">
        <f t="shared" si="2"/>
        <v>265376041</v>
      </c>
      <c r="N115" s="193">
        <v>190504214</v>
      </c>
      <c r="O115" s="193">
        <v>74871827</v>
      </c>
      <c r="P115" s="193"/>
      <c r="Q115" s="194"/>
      <c r="R115" s="29"/>
      <c r="S115" s="29" t="s">
        <v>344</v>
      </c>
      <c r="T115" s="29" t="s">
        <v>156</v>
      </c>
      <c r="U115" s="29" t="s">
        <v>36</v>
      </c>
      <c r="V115" s="29" t="s">
        <v>37</v>
      </c>
      <c r="W115" s="30" t="s">
        <v>157</v>
      </c>
      <c r="X115" s="184" t="s">
        <v>39</v>
      </c>
    </row>
    <row r="116" spans="1:24" ht="111" customHeight="1" x14ac:dyDescent="0.25">
      <c r="A116" s="33" t="s">
        <v>340</v>
      </c>
      <c r="B116" s="195" t="s">
        <v>371</v>
      </c>
      <c r="C116" s="196" t="s">
        <v>372</v>
      </c>
      <c r="D116" s="37">
        <v>43868</v>
      </c>
      <c r="E116" s="133" t="s">
        <v>69</v>
      </c>
      <c r="F116" s="131" t="s">
        <v>373</v>
      </c>
      <c r="G116" s="46">
        <v>9</v>
      </c>
      <c r="H116" s="40" t="s">
        <v>30</v>
      </c>
      <c r="I116" s="197" t="s">
        <v>159</v>
      </c>
      <c r="J116" s="195" t="s">
        <v>364</v>
      </c>
      <c r="K116" s="198" t="s">
        <v>33</v>
      </c>
      <c r="L116" s="43">
        <f>+M116+P116+Q116</f>
        <v>239757064</v>
      </c>
      <c r="M116" s="43">
        <f t="shared" si="2"/>
        <v>239757064</v>
      </c>
      <c r="N116" s="43">
        <f>58627461+181129603</f>
        <v>239757064</v>
      </c>
      <c r="O116" s="43"/>
      <c r="P116" s="86"/>
      <c r="Q116" s="86"/>
      <c r="R116" s="45" t="s">
        <v>89</v>
      </c>
      <c r="S116" s="45" t="s">
        <v>344</v>
      </c>
      <c r="T116" s="45" t="s">
        <v>156</v>
      </c>
      <c r="U116" s="45" t="s">
        <v>36</v>
      </c>
      <c r="V116" s="45" t="s">
        <v>37</v>
      </c>
      <c r="W116" s="46" t="s">
        <v>221</v>
      </c>
      <c r="X116" s="199" t="s">
        <v>39</v>
      </c>
    </row>
    <row r="117" spans="1:24" ht="111" customHeight="1" x14ac:dyDescent="0.25">
      <c r="A117" s="17" t="s">
        <v>340</v>
      </c>
      <c r="B117" s="179" t="s">
        <v>374</v>
      </c>
      <c r="C117" s="181" t="s">
        <v>375</v>
      </c>
      <c r="D117" s="20"/>
      <c r="E117" s="109"/>
      <c r="F117" s="55"/>
      <c r="G117" s="30"/>
      <c r="H117" s="23"/>
      <c r="I117" s="182"/>
      <c r="J117" s="179" t="s">
        <v>364</v>
      </c>
      <c r="K117" s="185" t="s">
        <v>99</v>
      </c>
      <c r="L117" s="26">
        <f>+M117+P117+Q117</f>
        <v>50866454</v>
      </c>
      <c r="M117" s="26">
        <f>+O117+N117</f>
        <v>50866454</v>
      </c>
      <c r="N117" s="26">
        <f>290623518-(58627461+181129603)</f>
        <v>50866454</v>
      </c>
      <c r="O117" s="26"/>
      <c r="P117" s="82"/>
      <c r="Q117" s="82"/>
      <c r="R117" s="29" t="s">
        <v>89</v>
      </c>
      <c r="S117" s="29" t="s">
        <v>344</v>
      </c>
      <c r="T117" s="29" t="s">
        <v>156</v>
      </c>
      <c r="U117" s="29" t="s">
        <v>36</v>
      </c>
      <c r="V117" s="29"/>
      <c r="W117" s="30"/>
      <c r="X117" s="184"/>
    </row>
    <row r="118" spans="1:24" ht="42.75" customHeight="1" x14ac:dyDescent="0.25">
      <c r="A118" s="17" t="s">
        <v>340</v>
      </c>
      <c r="B118" s="179">
        <v>80131502</v>
      </c>
      <c r="C118" s="181" t="s">
        <v>376</v>
      </c>
      <c r="D118" s="20">
        <v>44071</v>
      </c>
      <c r="E118" s="200" t="s">
        <v>147</v>
      </c>
      <c r="F118" s="200" t="s">
        <v>241</v>
      </c>
      <c r="G118" s="185">
        <v>12</v>
      </c>
      <c r="H118" s="89" t="s">
        <v>30</v>
      </c>
      <c r="I118" s="181" t="s">
        <v>31</v>
      </c>
      <c r="J118" s="182" t="s">
        <v>377</v>
      </c>
      <c r="K118" s="96" t="s">
        <v>378</v>
      </c>
      <c r="L118" s="26">
        <f t="shared" si="3"/>
        <v>6020537619</v>
      </c>
      <c r="M118" s="26">
        <f t="shared" si="2"/>
        <v>2238253740</v>
      </c>
      <c r="N118" s="26">
        <v>2238253740</v>
      </c>
      <c r="O118" s="26">
        <v>0</v>
      </c>
      <c r="P118" s="26">
        <v>2350166430</v>
      </c>
      <c r="Q118" s="26">
        <v>1432117449</v>
      </c>
      <c r="R118" s="29"/>
      <c r="S118" s="29" t="s">
        <v>344</v>
      </c>
      <c r="T118" s="29" t="s">
        <v>156</v>
      </c>
      <c r="U118" s="29" t="s">
        <v>36</v>
      </c>
      <c r="V118" s="29" t="s">
        <v>37</v>
      </c>
      <c r="W118" s="30" t="s">
        <v>157</v>
      </c>
      <c r="X118" s="184" t="s">
        <v>39</v>
      </c>
    </row>
    <row r="119" spans="1:24" ht="57" customHeight="1" x14ac:dyDescent="0.25">
      <c r="A119" s="33" t="s">
        <v>340</v>
      </c>
      <c r="B119" s="34">
        <v>80131502</v>
      </c>
      <c r="C119" s="35" t="s">
        <v>379</v>
      </c>
      <c r="D119" s="37">
        <v>44071</v>
      </c>
      <c r="E119" s="38" t="s">
        <v>147</v>
      </c>
      <c r="F119" s="38" t="s">
        <v>241</v>
      </c>
      <c r="G119" s="53">
        <v>11.5</v>
      </c>
      <c r="H119" s="40" t="s">
        <v>30</v>
      </c>
      <c r="I119" s="41" t="s">
        <v>42</v>
      </c>
      <c r="J119" s="41" t="s">
        <v>377</v>
      </c>
      <c r="K119" s="92" t="s">
        <v>378</v>
      </c>
      <c r="L119" s="43">
        <f t="shared" si="3"/>
        <v>294434604</v>
      </c>
      <c r="M119" s="43">
        <f t="shared" si="2"/>
        <v>294434604</v>
      </c>
      <c r="N119" s="43">
        <v>294434604</v>
      </c>
      <c r="O119" s="43">
        <v>0</v>
      </c>
      <c r="P119" s="43"/>
      <c r="Q119" s="43"/>
      <c r="R119" s="45" t="s">
        <v>44</v>
      </c>
      <c r="S119" s="45" t="s">
        <v>344</v>
      </c>
      <c r="T119" s="45" t="s">
        <v>156</v>
      </c>
      <c r="U119" s="45" t="s">
        <v>36</v>
      </c>
      <c r="V119" s="45" t="s">
        <v>37</v>
      </c>
      <c r="W119" s="46" t="s">
        <v>157</v>
      </c>
      <c r="X119" s="93" t="s">
        <v>39</v>
      </c>
    </row>
    <row r="120" spans="1:24" ht="57" customHeight="1" x14ac:dyDescent="0.25">
      <c r="A120" s="17" t="s">
        <v>340</v>
      </c>
      <c r="B120" s="179">
        <v>80131502</v>
      </c>
      <c r="C120" s="181" t="s">
        <v>380</v>
      </c>
      <c r="D120" s="20">
        <v>44141</v>
      </c>
      <c r="E120" s="200" t="s">
        <v>381</v>
      </c>
      <c r="F120" s="200" t="s">
        <v>381</v>
      </c>
      <c r="G120" s="30">
        <v>1</v>
      </c>
      <c r="H120" s="179" t="s">
        <v>30</v>
      </c>
      <c r="I120" s="182" t="s">
        <v>115</v>
      </c>
      <c r="J120" s="182" t="s">
        <v>377</v>
      </c>
      <c r="K120" s="96" t="s">
        <v>378</v>
      </c>
      <c r="L120" s="26">
        <f t="shared" si="3"/>
        <v>327069802.22220999</v>
      </c>
      <c r="M120" s="26">
        <f t="shared" si="2"/>
        <v>13687875.222210001</v>
      </c>
      <c r="N120" s="26">
        <v>13687875.222210001</v>
      </c>
      <c r="O120" s="26"/>
      <c r="P120" s="26">
        <v>313381927</v>
      </c>
      <c r="Q120" s="26"/>
      <c r="R120" s="29"/>
      <c r="S120" s="29" t="s">
        <v>344</v>
      </c>
      <c r="T120" s="29" t="s">
        <v>156</v>
      </c>
      <c r="U120" s="29" t="s">
        <v>36</v>
      </c>
      <c r="V120" s="29" t="s">
        <v>37</v>
      </c>
      <c r="W120" s="30" t="s">
        <v>157</v>
      </c>
      <c r="X120" s="184" t="s">
        <v>39</v>
      </c>
    </row>
    <row r="121" spans="1:24" ht="71.25" customHeight="1" x14ac:dyDescent="0.25">
      <c r="A121" s="33" t="s">
        <v>340</v>
      </c>
      <c r="B121" s="34">
        <v>80131502</v>
      </c>
      <c r="C121" s="35" t="s">
        <v>382</v>
      </c>
      <c r="D121" s="37">
        <v>44071</v>
      </c>
      <c r="E121" s="38" t="s">
        <v>147</v>
      </c>
      <c r="F121" s="38" t="s">
        <v>241</v>
      </c>
      <c r="G121" s="53">
        <v>11.5</v>
      </c>
      <c r="H121" s="40" t="s">
        <v>30</v>
      </c>
      <c r="I121" s="41" t="s">
        <v>42</v>
      </c>
      <c r="J121" s="41" t="s">
        <v>383</v>
      </c>
      <c r="K121" s="92" t="s">
        <v>33</v>
      </c>
      <c r="L121" s="43">
        <f t="shared" si="3"/>
        <v>72622183</v>
      </c>
      <c r="M121" s="43">
        <f t="shared" si="2"/>
        <v>72622183</v>
      </c>
      <c r="N121" s="43">
        <v>0</v>
      </c>
      <c r="O121" s="43">
        <v>72622183</v>
      </c>
      <c r="P121" s="43"/>
      <c r="Q121" s="43"/>
      <c r="R121" s="45" t="s">
        <v>44</v>
      </c>
      <c r="S121" s="45" t="s">
        <v>344</v>
      </c>
      <c r="T121" s="45" t="s">
        <v>156</v>
      </c>
      <c r="U121" s="45" t="s">
        <v>36</v>
      </c>
      <c r="V121" s="45" t="s">
        <v>37</v>
      </c>
      <c r="W121" s="46" t="s">
        <v>157</v>
      </c>
      <c r="X121" s="93" t="s">
        <v>39</v>
      </c>
    </row>
    <row r="122" spans="1:24" ht="84" x14ac:dyDescent="0.25">
      <c r="A122" s="17" t="s">
        <v>340</v>
      </c>
      <c r="B122" s="179">
        <v>80131502</v>
      </c>
      <c r="C122" s="181" t="s">
        <v>384</v>
      </c>
      <c r="D122" s="20">
        <v>44071</v>
      </c>
      <c r="E122" s="200" t="s">
        <v>147</v>
      </c>
      <c r="F122" s="200" t="s">
        <v>241</v>
      </c>
      <c r="G122" s="201">
        <v>11.5</v>
      </c>
      <c r="H122" s="179" t="s">
        <v>30</v>
      </c>
      <c r="I122" s="181" t="s">
        <v>31</v>
      </c>
      <c r="J122" s="182" t="s">
        <v>385</v>
      </c>
      <c r="K122" s="96" t="s">
        <v>33</v>
      </c>
      <c r="L122" s="26">
        <f t="shared" si="3"/>
        <v>212369629</v>
      </c>
      <c r="M122" s="26">
        <f t="shared" si="2"/>
        <v>212369629</v>
      </c>
      <c r="N122" s="26">
        <v>0</v>
      </c>
      <c r="O122" s="26">
        <v>212369629</v>
      </c>
      <c r="P122" s="26"/>
      <c r="Q122" s="26"/>
      <c r="R122" s="29"/>
      <c r="S122" s="29" t="s">
        <v>344</v>
      </c>
      <c r="T122" s="29" t="s">
        <v>156</v>
      </c>
      <c r="U122" s="29" t="s">
        <v>36</v>
      </c>
      <c r="V122" s="29" t="s">
        <v>37</v>
      </c>
      <c r="W122" s="30" t="s">
        <v>157</v>
      </c>
      <c r="X122" s="184" t="s">
        <v>39</v>
      </c>
    </row>
    <row r="123" spans="1:24" ht="84" x14ac:dyDescent="0.25">
      <c r="A123" s="17" t="s">
        <v>340</v>
      </c>
      <c r="B123" s="179">
        <v>80131502</v>
      </c>
      <c r="C123" s="202" t="s">
        <v>386</v>
      </c>
      <c r="D123" s="20">
        <v>44141</v>
      </c>
      <c r="E123" s="200" t="s">
        <v>381</v>
      </c>
      <c r="F123" s="200" t="s">
        <v>381</v>
      </c>
      <c r="G123" s="30">
        <v>15</v>
      </c>
      <c r="H123" s="179" t="s">
        <v>25</v>
      </c>
      <c r="I123" s="182" t="s">
        <v>115</v>
      </c>
      <c r="J123" s="182" t="s">
        <v>385</v>
      </c>
      <c r="K123" s="96" t="s">
        <v>33</v>
      </c>
      <c r="L123" s="26">
        <f t="shared" si="3"/>
        <v>2500000</v>
      </c>
      <c r="M123" s="26">
        <f t="shared" si="2"/>
        <v>2500000</v>
      </c>
      <c r="N123" s="26">
        <v>0</v>
      </c>
      <c r="O123" s="26">
        <v>2500000</v>
      </c>
      <c r="P123" s="26"/>
      <c r="Q123" s="26"/>
      <c r="R123" s="29"/>
      <c r="S123" s="29" t="s">
        <v>344</v>
      </c>
      <c r="T123" s="29" t="s">
        <v>156</v>
      </c>
      <c r="U123" s="29" t="s">
        <v>36</v>
      </c>
      <c r="V123" s="29" t="s">
        <v>37</v>
      </c>
      <c r="W123" s="30" t="s">
        <v>157</v>
      </c>
      <c r="X123" s="184" t="s">
        <v>39</v>
      </c>
    </row>
    <row r="124" spans="1:24" ht="57" customHeight="1" x14ac:dyDescent="0.25">
      <c r="A124" s="17" t="s">
        <v>340</v>
      </c>
      <c r="B124" s="183">
        <v>80131502</v>
      </c>
      <c r="C124" s="202" t="s">
        <v>387</v>
      </c>
      <c r="D124" s="20">
        <v>44071</v>
      </c>
      <c r="E124" s="200" t="s">
        <v>147</v>
      </c>
      <c r="F124" s="200" t="s">
        <v>241</v>
      </c>
      <c r="G124" s="201">
        <v>11.5</v>
      </c>
      <c r="H124" s="183" t="s">
        <v>30</v>
      </c>
      <c r="I124" s="202" t="s">
        <v>31</v>
      </c>
      <c r="J124" s="203" t="s">
        <v>383</v>
      </c>
      <c r="K124" s="96" t="s">
        <v>33</v>
      </c>
      <c r="L124" s="26">
        <f t="shared" si="3"/>
        <v>49540063</v>
      </c>
      <c r="M124" s="26">
        <f t="shared" si="2"/>
        <v>49540063</v>
      </c>
      <c r="N124" s="26">
        <v>0</v>
      </c>
      <c r="O124" s="26">
        <v>49540063</v>
      </c>
      <c r="P124" s="26"/>
      <c r="Q124" s="26"/>
      <c r="R124" s="29"/>
      <c r="S124" s="29" t="s">
        <v>344</v>
      </c>
      <c r="T124" s="29" t="s">
        <v>156</v>
      </c>
      <c r="U124" s="29" t="s">
        <v>36</v>
      </c>
      <c r="V124" s="29" t="s">
        <v>37</v>
      </c>
      <c r="W124" s="30" t="s">
        <v>157</v>
      </c>
      <c r="X124" s="184" t="s">
        <v>39</v>
      </c>
    </row>
    <row r="125" spans="1:24" ht="71.25" customHeight="1" x14ac:dyDescent="0.25">
      <c r="A125" s="17" t="s">
        <v>340</v>
      </c>
      <c r="B125" s="179">
        <v>80131502</v>
      </c>
      <c r="C125" s="181" t="s">
        <v>388</v>
      </c>
      <c r="D125" s="20">
        <v>44071</v>
      </c>
      <c r="E125" s="200" t="s">
        <v>147</v>
      </c>
      <c r="F125" s="200" t="s">
        <v>241</v>
      </c>
      <c r="G125" s="201">
        <v>11.5</v>
      </c>
      <c r="H125" s="179" t="s">
        <v>30</v>
      </c>
      <c r="I125" s="181" t="s">
        <v>31</v>
      </c>
      <c r="J125" s="182" t="s">
        <v>383</v>
      </c>
      <c r="K125" s="96" t="s">
        <v>33</v>
      </c>
      <c r="L125" s="26">
        <f t="shared" si="3"/>
        <v>55200000</v>
      </c>
      <c r="M125" s="26">
        <f t="shared" si="2"/>
        <v>55200000</v>
      </c>
      <c r="N125" s="26"/>
      <c r="O125" s="26">
        <v>55200000</v>
      </c>
      <c r="P125" s="26"/>
      <c r="Q125" s="26"/>
      <c r="R125" s="29"/>
      <c r="S125" s="29" t="s">
        <v>344</v>
      </c>
      <c r="T125" s="29" t="s">
        <v>156</v>
      </c>
      <c r="U125" s="29" t="s">
        <v>36</v>
      </c>
      <c r="V125" s="29" t="s">
        <v>37</v>
      </c>
      <c r="W125" s="30" t="s">
        <v>157</v>
      </c>
      <c r="X125" s="184" t="s">
        <v>39</v>
      </c>
    </row>
    <row r="126" spans="1:24" ht="57" customHeight="1" x14ac:dyDescent="0.25">
      <c r="A126" s="17" t="s">
        <v>340</v>
      </c>
      <c r="B126" s="179">
        <v>80131502</v>
      </c>
      <c r="C126" s="181" t="s">
        <v>389</v>
      </c>
      <c r="D126" s="20">
        <v>44071</v>
      </c>
      <c r="E126" s="200" t="s">
        <v>147</v>
      </c>
      <c r="F126" s="200" t="s">
        <v>241</v>
      </c>
      <c r="G126" s="201">
        <v>11.5</v>
      </c>
      <c r="H126" s="179" t="s">
        <v>30</v>
      </c>
      <c r="I126" s="181" t="s">
        <v>31</v>
      </c>
      <c r="J126" s="182" t="s">
        <v>383</v>
      </c>
      <c r="K126" s="96" t="s">
        <v>33</v>
      </c>
      <c r="L126" s="26">
        <f t="shared" si="3"/>
        <v>61889285</v>
      </c>
      <c r="M126" s="26">
        <f t="shared" si="2"/>
        <v>61889285</v>
      </c>
      <c r="N126" s="26">
        <v>0</v>
      </c>
      <c r="O126" s="26">
        <v>61889285</v>
      </c>
      <c r="P126" s="26"/>
      <c r="Q126" s="26"/>
      <c r="R126" s="29"/>
      <c r="S126" s="29" t="s">
        <v>344</v>
      </c>
      <c r="T126" s="29" t="s">
        <v>156</v>
      </c>
      <c r="U126" s="29" t="s">
        <v>36</v>
      </c>
      <c r="V126" s="29" t="s">
        <v>37</v>
      </c>
      <c r="W126" s="30" t="s">
        <v>157</v>
      </c>
      <c r="X126" s="184" t="s">
        <v>39</v>
      </c>
    </row>
    <row r="127" spans="1:24" ht="57" customHeight="1" x14ac:dyDescent="0.25">
      <c r="A127" s="17" t="s">
        <v>340</v>
      </c>
      <c r="B127" s="179">
        <v>80131502</v>
      </c>
      <c r="C127" s="202" t="s">
        <v>390</v>
      </c>
      <c r="D127" s="20">
        <v>44071</v>
      </c>
      <c r="E127" s="200" t="s">
        <v>147</v>
      </c>
      <c r="F127" s="200" t="s">
        <v>241</v>
      </c>
      <c r="G127" s="201">
        <v>11.5</v>
      </c>
      <c r="H127" s="179" t="s">
        <v>30</v>
      </c>
      <c r="I127" s="181" t="s">
        <v>31</v>
      </c>
      <c r="J127" s="182" t="s">
        <v>383</v>
      </c>
      <c r="K127" s="96" t="s">
        <v>33</v>
      </c>
      <c r="L127" s="26">
        <f t="shared" si="3"/>
        <v>101877600</v>
      </c>
      <c r="M127" s="26">
        <f t="shared" si="2"/>
        <v>101877600</v>
      </c>
      <c r="N127" s="26">
        <v>0</v>
      </c>
      <c r="O127" s="26">
        <v>101877600</v>
      </c>
      <c r="P127" s="26"/>
      <c r="Q127" s="26"/>
      <c r="R127" s="29"/>
      <c r="S127" s="29" t="s">
        <v>344</v>
      </c>
      <c r="T127" s="29" t="s">
        <v>156</v>
      </c>
      <c r="U127" s="29" t="s">
        <v>36</v>
      </c>
      <c r="V127" s="29" t="s">
        <v>37</v>
      </c>
      <c r="W127" s="30" t="s">
        <v>157</v>
      </c>
      <c r="X127" s="184" t="s">
        <v>39</v>
      </c>
    </row>
    <row r="128" spans="1:24" ht="42.75" customHeight="1" x14ac:dyDescent="0.25">
      <c r="A128" s="33" t="s">
        <v>340</v>
      </c>
      <c r="B128" s="195">
        <v>80131502</v>
      </c>
      <c r="C128" s="204" t="s">
        <v>391</v>
      </c>
      <c r="D128" s="37">
        <v>44071</v>
      </c>
      <c r="E128" s="205" t="s">
        <v>147</v>
      </c>
      <c r="F128" s="205" t="s">
        <v>241</v>
      </c>
      <c r="G128" s="206">
        <v>11</v>
      </c>
      <c r="H128" s="195" t="s">
        <v>30</v>
      </c>
      <c r="I128" s="196" t="s">
        <v>31</v>
      </c>
      <c r="J128" s="197" t="s">
        <v>383</v>
      </c>
      <c r="K128" s="92" t="s">
        <v>33</v>
      </c>
      <c r="L128" s="43">
        <f t="shared" si="3"/>
        <v>38133334</v>
      </c>
      <c r="M128" s="43">
        <f t="shared" si="2"/>
        <v>38133334</v>
      </c>
      <c r="N128" s="43">
        <v>0</v>
      </c>
      <c r="O128" s="43">
        <f>33000000+7000000- 1866666</f>
        <v>38133334</v>
      </c>
      <c r="P128" s="43"/>
      <c r="Q128" s="43"/>
      <c r="R128" s="45" t="s">
        <v>89</v>
      </c>
      <c r="S128" s="45" t="s">
        <v>344</v>
      </c>
      <c r="T128" s="45" t="s">
        <v>156</v>
      </c>
      <c r="U128" s="45" t="s">
        <v>36</v>
      </c>
      <c r="V128" s="45" t="s">
        <v>37</v>
      </c>
      <c r="W128" s="46" t="s">
        <v>157</v>
      </c>
      <c r="X128" s="199" t="s">
        <v>39</v>
      </c>
    </row>
    <row r="129" spans="1:24" ht="42.75" customHeight="1" x14ac:dyDescent="0.25">
      <c r="A129" s="17" t="s">
        <v>340</v>
      </c>
      <c r="B129" s="179">
        <v>80131503</v>
      </c>
      <c r="C129" s="202" t="s">
        <v>392</v>
      </c>
      <c r="D129" s="20">
        <v>44072</v>
      </c>
      <c r="E129" s="200" t="s">
        <v>147</v>
      </c>
      <c r="F129" s="200" t="s">
        <v>241</v>
      </c>
      <c r="G129" s="201">
        <v>12</v>
      </c>
      <c r="H129" s="179" t="s">
        <v>30</v>
      </c>
      <c r="I129" s="181" t="s">
        <v>31</v>
      </c>
      <c r="J129" s="182" t="s">
        <v>383</v>
      </c>
      <c r="K129" s="96" t="s">
        <v>99</v>
      </c>
      <c r="L129" s="26">
        <f>+M129+P129+Q129</f>
        <v>1866667</v>
      </c>
      <c r="M129" s="26">
        <f>+O129+N129</f>
        <v>1866667</v>
      </c>
      <c r="N129" s="26">
        <v>1</v>
      </c>
      <c r="O129" s="26">
        <f>33000000+7000000-38133334</f>
        <v>1866666</v>
      </c>
      <c r="P129" s="26"/>
      <c r="Q129" s="26"/>
      <c r="R129" s="29" t="s">
        <v>207</v>
      </c>
      <c r="S129" s="29" t="s">
        <v>344</v>
      </c>
      <c r="T129" s="29" t="s">
        <v>156</v>
      </c>
      <c r="U129" s="29" t="s">
        <v>36</v>
      </c>
      <c r="V129" s="29" t="s">
        <v>37</v>
      </c>
      <c r="W129" s="30" t="s">
        <v>221</v>
      </c>
      <c r="X129" s="184" t="s">
        <v>39</v>
      </c>
    </row>
    <row r="130" spans="1:24" ht="57" customHeight="1" x14ac:dyDescent="0.25">
      <c r="A130" s="17" t="s">
        <v>340</v>
      </c>
      <c r="B130" s="179">
        <v>80131502</v>
      </c>
      <c r="C130" s="181" t="s">
        <v>393</v>
      </c>
      <c r="D130" s="20">
        <v>44071</v>
      </c>
      <c r="E130" s="200" t="s">
        <v>147</v>
      </c>
      <c r="F130" s="200" t="s">
        <v>241</v>
      </c>
      <c r="G130" s="201">
        <v>11.5</v>
      </c>
      <c r="H130" s="179" t="s">
        <v>30</v>
      </c>
      <c r="I130" s="181" t="s">
        <v>31</v>
      </c>
      <c r="J130" s="182" t="s">
        <v>383</v>
      </c>
      <c r="K130" s="96" t="s">
        <v>33</v>
      </c>
      <c r="L130" s="26">
        <f t="shared" si="3"/>
        <v>51320044</v>
      </c>
      <c r="M130" s="26">
        <f t="shared" si="2"/>
        <v>51320044</v>
      </c>
      <c r="N130" s="27">
        <v>51320044</v>
      </c>
      <c r="O130" s="26">
        <v>0</v>
      </c>
      <c r="P130" s="26"/>
      <c r="Q130" s="26"/>
      <c r="R130" s="29"/>
      <c r="S130" s="29" t="s">
        <v>344</v>
      </c>
      <c r="T130" s="29" t="s">
        <v>156</v>
      </c>
      <c r="U130" s="29" t="s">
        <v>36</v>
      </c>
      <c r="V130" s="29" t="s">
        <v>37</v>
      </c>
      <c r="W130" s="30" t="s">
        <v>157</v>
      </c>
      <c r="X130" s="184" t="s">
        <v>39</v>
      </c>
    </row>
    <row r="131" spans="1:24" ht="57" customHeight="1" x14ac:dyDescent="0.25">
      <c r="A131" s="17" t="s">
        <v>340</v>
      </c>
      <c r="B131" s="179">
        <v>80131502</v>
      </c>
      <c r="C131" s="181" t="s">
        <v>394</v>
      </c>
      <c r="D131" s="20">
        <v>44071</v>
      </c>
      <c r="E131" s="200" t="s">
        <v>147</v>
      </c>
      <c r="F131" s="200" t="s">
        <v>241</v>
      </c>
      <c r="G131" s="201">
        <v>11.5</v>
      </c>
      <c r="H131" s="179" t="s">
        <v>30</v>
      </c>
      <c r="I131" s="181" t="s">
        <v>31</v>
      </c>
      <c r="J131" s="182" t="s">
        <v>383</v>
      </c>
      <c r="K131" s="96" t="s">
        <v>33</v>
      </c>
      <c r="L131" s="26">
        <f t="shared" si="3"/>
        <v>83159117</v>
      </c>
      <c r="M131" s="26">
        <f t="shared" si="2"/>
        <v>83159117</v>
      </c>
      <c r="N131" s="26">
        <v>83159117</v>
      </c>
      <c r="O131" s="26">
        <v>0</v>
      </c>
      <c r="P131" s="26"/>
      <c r="Q131" s="26"/>
      <c r="R131" s="29"/>
      <c r="S131" s="29" t="s">
        <v>344</v>
      </c>
      <c r="T131" s="29" t="s">
        <v>156</v>
      </c>
      <c r="U131" s="29" t="s">
        <v>36</v>
      </c>
      <c r="V131" s="29" t="s">
        <v>37</v>
      </c>
      <c r="W131" s="30" t="s">
        <v>157</v>
      </c>
      <c r="X131" s="184" t="s">
        <v>39</v>
      </c>
    </row>
    <row r="132" spans="1:24" ht="57" customHeight="1" x14ac:dyDescent="0.25">
      <c r="A132" s="17" t="s">
        <v>340</v>
      </c>
      <c r="B132" s="179">
        <v>80131502</v>
      </c>
      <c r="C132" s="181" t="s">
        <v>395</v>
      </c>
      <c r="D132" s="20">
        <v>44071</v>
      </c>
      <c r="E132" s="200" t="s">
        <v>147</v>
      </c>
      <c r="F132" s="200" t="s">
        <v>241</v>
      </c>
      <c r="G132" s="201">
        <v>11.5</v>
      </c>
      <c r="H132" s="179" t="s">
        <v>30</v>
      </c>
      <c r="I132" s="181" t="s">
        <v>31</v>
      </c>
      <c r="J132" s="182" t="s">
        <v>383</v>
      </c>
      <c r="K132" s="96" t="s">
        <v>33</v>
      </c>
      <c r="L132" s="26">
        <f t="shared" si="3"/>
        <v>117250000</v>
      </c>
      <c r="M132" s="26">
        <f t="shared" si="2"/>
        <v>117250000</v>
      </c>
      <c r="N132" s="26">
        <v>117250000</v>
      </c>
      <c r="O132" s="26">
        <v>0</v>
      </c>
      <c r="P132" s="26"/>
      <c r="Q132" s="26"/>
      <c r="R132" s="29"/>
      <c r="S132" s="29" t="s">
        <v>344</v>
      </c>
      <c r="T132" s="29" t="s">
        <v>156</v>
      </c>
      <c r="U132" s="29" t="s">
        <v>36</v>
      </c>
      <c r="V132" s="29" t="s">
        <v>37</v>
      </c>
      <c r="W132" s="30" t="s">
        <v>157</v>
      </c>
      <c r="X132" s="184" t="s">
        <v>39</v>
      </c>
    </row>
    <row r="133" spans="1:24" ht="57" customHeight="1" x14ac:dyDescent="0.25">
      <c r="A133" s="17" t="s">
        <v>340</v>
      </c>
      <c r="B133" s="179">
        <v>80131502</v>
      </c>
      <c r="C133" s="181" t="s">
        <v>396</v>
      </c>
      <c r="D133" s="20">
        <v>44071</v>
      </c>
      <c r="E133" s="200" t="s">
        <v>147</v>
      </c>
      <c r="F133" s="200" t="s">
        <v>241</v>
      </c>
      <c r="G133" s="201">
        <v>11.5</v>
      </c>
      <c r="H133" s="179" t="s">
        <v>30</v>
      </c>
      <c r="I133" s="181" t="s">
        <v>31</v>
      </c>
      <c r="J133" s="182" t="s">
        <v>383</v>
      </c>
      <c r="K133" s="96" t="s">
        <v>33</v>
      </c>
      <c r="L133" s="26">
        <f t="shared" si="3"/>
        <v>107275625</v>
      </c>
      <c r="M133" s="26">
        <f t="shared" si="2"/>
        <v>107275625</v>
      </c>
      <c r="N133" s="26">
        <v>107275625</v>
      </c>
      <c r="O133" s="26">
        <v>0</v>
      </c>
      <c r="P133" s="26"/>
      <c r="Q133" s="26"/>
      <c r="R133" s="29"/>
      <c r="S133" s="29" t="s">
        <v>344</v>
      </c>
      <c r="T133" s="29" t="s">
        <v>156</v>
      </c>
      <c r="U133" s="29" t="s">
        <v>36</v>
      </c>
      <c r="V133" s="29" t="s">
        <v>37</v>
      </c>
      <c r="W133" s="30" t="s">
        <v>157</v>
      </c>
      <c r="X133" s="184" t="s">
        <v>39</v>
      </c>
    </row>
    <row r="134" spans="1:24" ht="57" customHeight="1" x14ac:dyDescent="0.25">
      <c r="A134" s="17" t="s">
        <v>340</v>
      </c>
      <c r="B134" s="179">
        <v>80131502</v>
      </c>
      <c r="C134" s="181" t="s">
        <v>397</v>
      </c>
      <c r="D134" s="20">
        <v>44071</v>
      </c>
      <c r="E134" s="200" t="s">
        <v>147</v>
      </c>
      <c r="F134" s="200" t="s">
        <v>241</v>
      </c>
      <c r="G134" s="201">
        <v>11.5</v>
      </c>
      <c r="H134" s="179" t="s">
        <v>30</v>
      </c>
      <c r="I134" s="181" t="s">
        <v>31</v>
      </c>
      <c r="J134" s="182" t="s">
        <v>383</v>
      </c>
      <c r="K134" s="96" t="s">
        <v>33</v>
      </c>
      <c r="L134" s="26">
        <f t="shared" si="3"/>
        <v>117934740</v>
      </c>
      <c r="M134" s="26">
        <f t="shared" ref="M134:M185" si="4">+O134+N134</f>
        <v>117934740</v>
      </c>
      <c r="N134" s="27">
        <v>117934740</v>
      </c>
      <c r="O134" s="26">
        <v>0</v>
      </c>
      <c r="P134" s="26"/>
      <c r="Q134" s="26"/>
      <c r="R134" s="29"/>
      <c r="S134" s="29" t="s">
        <v>344</v>
      </c>
      <c r="T134" s="29" t="s">
        <v>156</v>
      </c>
      <c r="U134" s="29" t="s">
        <v>36</v>
      </c>
      <c r="V134" s="29" t="s">
        <v>37</v>
      </c>
      <c r="W134" s="30" t="s">
        <v>157</v>
      </c>
      <c r="X134" s="184" t="s">
        <v>39</v>
      </c>
    </row>
    <row r="135" spans="1:24" ht="57" customHeight="1" x14ac:dyDescent="0.25">
      <c r="A135" s="17" t="s">
        <v>340</v>
      </c>
      <c r="B135" s="179">
        <v>80131502</v>
      </c>
      <c r="C135" s="181" t="s">
        <v>398</v>
      </c>
      <c r="D135" s="20">
        <v>44071</v>
      </c>
      <c r="E135" s="200" t="s">
        <v>147</v>
      </c>
      <c r="F135" s="200" t="s">
        <v>241</v>
      </c>
      <c r="G135" s="201">
        <v>11.5</v>
      </c>
      <c r="H135" s="179" t="s">
        <v>30</v>
      </c>
      <c r="I135" s="181" t="s">
        <v>31</v>
      </c>
      <c r="J135" s="182" t="s">
        <v>383</v>
      </c>
      <c r="K135" s="96" t="s">
        <v>33</v>
      </c>
      <c r="L135" s="26">
        <f t="shared" si="3"/>
        <v>74321844</v>
      </c>
      <c r="M135" s="26">
        <f t="shared" si="4"/>
        <v>74321844</v>
      </c>
      <c r="N135" s="26">
        <v>74321844</v>
      </c>
      <c r="O135" s="26">
        <v>0</v>
      </c>
      <c r="P135" s="26"/>
      <c r="Q135" s="26"/>
      <c r="R135" s="29"/>
      <c r="S135" s="29" t="s">
        <v>344</v>
      </c>
      <c r="T135" s="29" t="s">
        <v>156</v>
      </c>
      <c r="U135" s="29" t="s">
        <v>36</v>
      </c>
      <c r="V135" s="29" t="s">
        <v>37</v>
      </c>
      <c r="W135" s="30" t="s">
        <v>157</v>
      </c>
      <c r="X135" s="184" t="s">
        <v>39</v>
      </c>
    </row>
    <row r="136" spans="1:24" ht="57" customHeight="1" x14ac:dyDescent="0.25">
      <c r="A136" s="17" t="s">
        <v>340</v>
      </c>
      <c r="B136" s="179">
        <v>80131502</v>
      </c>
      <c r="C136" s="181" t="s">
        <v>399</v>
      </c>
      <c r="D136" s="20">
        <v>44071</v>
      </c>
      <c r="E136" s="200" t="s">
        <v>147</v>
      </c>
      <c r="F136" s="200" t="s">
        <v>241</v>
      </c>
      <c r="G136" s="201">
        <v>11.5</v>
      </c>
      <c r="H136" s="179" t="s">
        <v>30</v>
      </c>
      <c r="I136" s="181" t="s">
        <v>31</v>
      </c>
      <c r="J136" s="182" t="s">
        <v>383</v>
      </c>
      <c r="K136" s="96" t="s">
        <v>33</v>
      </c>
      <c r="L136" s="26">
        <f t="shared" si="3"/>
        <v>60871791</v>
      </c>
      <c r="M136" s="26">
        <f t="shared" si="4"/>
        <v>60871791</v>
      </c>
      <c r="N136" s="26">
        <v>60871791</v>
      </c>
      <c r="O136" s="26">
        <v>0</v>
      </c>
      <c r="P136" s="26"/>
      <c r="Q136" s="26"/>
      <c r="R136" s="29"/>
      <c r="S136" s="29" t="s">
        <v>344</v>
      </c>
      <c r="T136" s="29" t="s">
        <v>156</v>
      </c>
      <c r="U136" s="29" t="s">
        <v>36</v>
      </c>
      <c r="V136" s="29" t="s">
        <v>37</v>
      </c>
      <c r="W136" s="30" t="s">
        <v>157</v>
      </c>
      <c r="X136" s="184" t="s">
        <v>39</v>
      </c>
    </row>
    <row r="137" spans="1:24" ht="57" customHeight="1" x14ac:dyDescent="0.25">
      <c r="A137" s="17" t="s">
        <v>340</v>
      </c>
      <c r="B137" s="179">
        <v>80131502</v>
      </c>
      <c r="C137" s="181" t="s">
        <v>400</v>
      </c>
      <c r="D137" s="20">
        <v>44071</v>
      </c>
      <c r="E137" s="200" t="s">
        <v>147</v>
      </c>
      <c r="F137" s="200" t="s">
        <v>241</v>
      </c>
      <c r="G137" s="201">
        <v>11.5</v>
      </c>
      <c r="H137" s="179" t="s">
        <v>30</v>
      </c>
      <c r="I137" s="181" t="s">
        <v>31</v>
      </c>
      <c r="J137" s="182" t="s">
        <v>383</v>
      </c>
      <c r="K137" s="96" t="s">
        <v>33</v>
      </c>
      <c r="L137" s="26">
        <f t="shared" si="3"/>
        <v>52188900</v>
      </c>
      <c r="M137" s="26">
        <f t="shared" si="4"/>
        <v>52188900</v>
      </c>
      <c r="N137" s="26">
        <v>52188900</v>
      </c>
      <c r="O137" s="26">
        <v>0</v>
      </c>
      <c r="P137" s="26"/>
      <c r="Q137" s="26"/>
      <c r="R137" s="29"/>
      <c r="S137" s="29" t="s">
        <v>344</v>
      </c>
      <c r="T137" s="29" t="s">
        <v>156</v>
      </c>
      <c r="U137" s="29" t="s">
        <v>36</v>
      </c>
      <c r="V137" s="29" t="s">
        <v>37</v>
      </c>
      <c r="W137" s="30" t="s">
        <v>157</v>
      </c>
      <c r="X137" s="184" t="s">
        <v>39</v>
      </c>
    </row>
    <row r="138" spans="1:24" ht="57" customHeight="1" x14ac:dyDescent="0.25">
      <c r="A138" s="17" t="s">
        <v>340</v>
      </c>
      <c r="B138" s="179">
        <v>80131502</v>
      </c>
      <c r="C138" s="181" t="s">
        <v>401</v>
      </c>
      <c r="D138" s="20">
        <v>44071</v>
      </c>
      <c r="E138" s="200" t="s">
        <v>147</v>
      </c>
      <c r="F138" s="200" t="s">
        <v>241</v>
      </c>
      <c r="G138" s="201">
        <v>11.5</v>
      </c>
      <c r="H138" s="179" t="s">
        <v>30</v>
      </c>
      <c r="I138" s="181" t="s">
        <v>31</v>
      </c>
      <c r="J138" s="182" t="s">
        <v>383</v>
      </c>
      <c r="K138" s="96" t="s">
        <v>33</v>
      </c>
      <c r="L138" s="26">
        <f t="shared" si="3"/>
        <v>77660721</v>
      </c>
      <c r="M138" s="26">
        <f t="shared" si="4"/>
        <v>77660721</v>
      </c>
      <c r="N138" s="26">
        <v>77660721</v>
      </c>
      <c r="O138" s="26">
        <v>0</v>
      </c>
      <c r="P138" s="26"/>
      <c r="Q138" s="26"/>
      <c r="R138" s="29"/>
      <c r="S138" s="29" t="s">
        <v>344</v>
      </c>
      <c r="T138" s="29" t="s">
        <v>156</v>
      </c>
      <c r="U138" s="29" t="s">
        <v>36</v>
      </c>
      <c r="V138" s="29" t="s">
        <v>37</v>
      </c>
      <c r="W138" s="30" t="s">
        <v>157</v>
      </c>
      <c r="X138" s="184" t="s">
        <v>39</v>
      </c>
    </row>
    <row r="139" spans="1:24" ht="42.75" customHeight="1" x14ac:dyDescent="0.25">
      <c r="A139" s="17" t="s">
        <v>340</v>
      </c>
      <c r="B139" s="179">
        <v>80131502</v>
      </c>
      <c r="C139" s="181" t="s">
        <v>402</v>
      </c>
      <c r="D139" s="20">
        <v>44071</v>
      </c>
      <c r="E139" s="200" t="s">
        <v>147</v>
      </c>
      <c r="F139" s="200" t="s">
        <v>241</v>
      </c>
      <c r="G139" s="201">
        <v>11.5</v>
      </c>
      <c r="H139" s="179" t="s">
        <v>30</v>
      </c>
      <c r="I139" s="181" t="s">
        <v>31</v>
      </c>
      <c r="J139" s="182" t="s">
        <v>383</v>
      </c>
      <c r="K139" s="96" t="s">
        <v>33</v>
      </c>
      <c r="L139" s="26">
        <f t="shared" si="3"/>
        <v>46729818</v>
      </c>
      <c r="M139" s="26">
        <f t="shared" si="4"/>
        <v>46729818</v>
      </c>
      <c r="N139" s="27">
        <v>46729818</v>
      </c>
      <c r="O139" s="26">
        <v>0</v>
      </c>
      <c r="P139" s="26"/>
      <c r="Q139" s="26"/>
      <c r="R139" s="29"/>
      <c r="S139" s="29" t="s">
        <v>344</v>
      </c>
      <c r="T139" s="29" t="s">
        <v>156</v>
      </c>
      <c r="U139" s="29" t="s">
        <v>36</v>
      </c>
      <c r="V139" s="29" t="s">
        <v>37</v>
      </c>
      <c r="W139" s="30" t="s">
        <v>157</v>
      </c>
      <c r="X139" s="184" t="s">
        <v>39</v>
      </c>
    </row>
    <row r="140" spans="1:24" ht="42.75" customHeight="1" x14ac:dyDescent="0.25">
      <c r="A140" s="17" t="s">
        <v>340</v>
      </c>
      <c r="B140" s="179">
        <v>80131502</v>
      </c>
      <c r="C140" s="181" t="s">
        <v>403</v>
      </c>
      <c r="D140" s="20">
        <v>44071</v>
      </c>
      <c r="E140" s="200" t="s">
        <v>147</v>
      </c>
      <c r="F140" s="200" t="s">
        <v>241</v>
      </c>
      <c r="G140" s="201">
        <v>11.5</v>
      </c>
      <c r="H140" s="179" t="s">
        <v>30</v>
      </c>
      <c r="I140" s="181" t="s">
        <v>31</v>
      </c>
      <c r="J140" s="182" t="s">
        <v>383</v>
      </c>
      <c r="K140" s="96" t="s">
        <v>33</v>
      </c>
      <c r="L140" s="26">
        <f t="shared" si="3"/>
        <v>75352335</v>
      </c>
      <c r="M140" s="26">
        <f t="shared" si="4"/>
        <v>75352335</v>
      </c>
      <c r="N140" s="27">
        <v>75352335</v>
      </c>
      <c r="O140" s="26">
        <v>0</v>
      </c>
      <c r="P140" s="26"/>
      <c r="Q140" s="26"/>
      <c r="R140" s="29"/>
      <c r="S140" s="29" t="s">
        <v>344</v>
      </c>
      <c r="T140" s="29" t="s">
        <v>156</v>
      </c>
      <c r="U140" s="29" t="s">
        <v>36</v>
      </c>
      <c r="V140" s="29" t="s">
        <v>37</v>
      </c>
      <c r="W140" s="30" t="s">
        <v>157</v>
      </c>
      <c r="X140" s="184" t="s">
        <v>39</v>
      </c>
    </row>
    <row r="141" spans="1:24" ht="57" customHeight="1" x14ac:dyDescent="0.25">
      <c r="A141" s="17" t="s">
        <v>340</v>
      </c>
      <c r="B141" s="179">
        <v>80131502</v>
      </c>
      <c r="C141" s="181" t="s">
        <v>404</v>
      </c>
      <c r="D141" s="20">
        <v>44071</v>
      </c>
      <c r="E141" s="200" t="s">
        <v>147</v>
      </c>
      <c r="F141" s="200" t="s">
        <v>241</v>
      </c>
      <c r="G141" s="201">
        <v>11.5</v>
      </c>
      <c r="H141" s="179" t="s">
        <v>30</v>
      </c>
      <c r="I141" s="181" t="s">
        <v>31</v>
      </c>
      <c r="J141" s="182" t="s">
        <v>383</v>
      </c>
      <c r="K141" s="96" t="s">
        <v>33</v>
      </c>
      <c r="L141" s="26">
        <f t="shared" si="3"/>
        <v>55320000</v>
      </c>
      <c r="M141" s="26">
        <f t="shared" si="4"/>
        <v>55320000</v>
      </c>
      <c r="N141" s="26">
        <v>55320000</v>
      </c>
      <c r="O141" s="26"/>
      <c r="P141" s="26"/>
      <c r="Q141" s="26"/>
      <c r="R141" s="29"/>
      <c r="S141" s="29" t="s">
        <v>344</v>
      </c>
      <c r="T141" s="29" t="s">
        <v>156</v>
      </c>
      <c r="U141" s="29" t="s">
        <v>36</v>
      </c>
      <c r="V141" s="29" t="s">
        <v>37</v>
      </c>
      <c r="W141" s="30" t="s">
        <v>157</v>
      </c>
      <c r="X141" s="184" t="s">
        <v>39</v>
      </c>
    </row>
    <row r="142" spans="1:24" ht="57" customHeight="1" x14ac:dyDescent="0.25">
      <c r="A142" s="17" t="s">
        <v>340</v>
      </c>
      <c r="B142" s="179">
        <v>80131502</v>
      </c>
      <c r="C142" s="181" t="s">
        <v>405</v>
      </c>
      <c r="D142" s="20"/>
      <c r="E142" s="200"/>
      <c r="F142" s="200"/>
      <c r="G142" s="201">
        <v>11.5</v>
      </c>
      <c r="H142" s="179" t="s">
        <v>30</v>
      </c>
      <c r="I142" s="181" t="s">
        <v>31</v>
      </c>
      <c r="J142" s="182" t="s">
        <v>383</v>
      </c>
      <c r="K142" s="96" t="s">
        <v>33</v>
      </c>
      <c r="L142" s="26">
        <f t="shared" si="3"/>
        <v>72390332</v>
      </c>
      <c r="M142" s="26">
        <f t="shared" si="4"/>
        <v>72390332</v>
      </c>
      <c r="N142" s="26">
        <v>72390332</v>
      </c>
      <c r="O142" s="26">
        <v>0</v>
      </c>
      <c r="P142" s="26"/>
      <c r="Q142" s="26"/>
      <c r="R142" s="29"/>
      <c r="S142" s="29" t="s">
        <v>344</v>
      </c>
      <c r="T142" s="29" t="s">
        <v>156</v>
      </c>
      <c r="U142" s="29" t="s">
        <v>36</v>
      </c>
      <c r="V142" s="29" t="s">
        <v>37</v>
      </c>
      <c r="W142" s="30" t="s">
        <v>157</v>
      </c>
      <c r="X142" s="184" t="s">
        <v>39</v>
      </c>
    </row>
    <row r="143" spans="1:24" ht="57" customHeight="1" x14ac:dyDescent="0.25">
      <c r="A143" s="17" t="s">
        <v>340</v>
      </c>
      <c r="B143" s="179">
        <v>80131502</v>
      </c>
      <c r="C143" s="181" t="s">
        <v>406</v>
      </c>
      <c r="D143" s="20"/>
      <c r="E143" s="200"/>
      <c r="F143" s="200"/>
      <c r="G143" s="201">
        <v>11.5</v>
      </c>
      <c r="H143" s="179" t="s">
        <v>30</v>
      </c>
      <c r="I143" s="181" t="s">
        <v>31</v>
      </c>
      <c r="J143" s="182" t="s">
        <v>383</v>
      </c>
      <c r="K143" s="96" t="s">
        <v>33</v>
      </c>
      <c r="L143" s="26">
        <f t="shared" si="3"/>
        <v>48001625</v>
      </c>
      <c r="M143" s="26">
        <f t="shared" si="4"/>
        <v>48001625</v>
      </c>
      <c r="N143" s="26">
        <v>48001625</v>
      </c>
      <c r="O143" s="26">
        <v>0</v>
      </c>
      <c r="P143" s="26"/>
      <c r="Q143" s="26"/>
      <c r="R143" s="29"/>
      <c r="S143" s="29" t="s">
        <v>344</v>
      </c>
      <c r="T143" s="29" t="s">
        <v>156</v>
      </c>
      <c r="U143" s="29" t="s">
        <v>36</v>
      </c>
      <c r="V143" s="29" t="s">
        <v>37</v>
      </c>
      <c r="W143" s="30" t="s">
        <v>157</v>
      </c>
      <c r="X143" s="184" t="s">
        <v>39</v>
      </c>
    </row>
    <row r="144" spans="1:24" ht="57" customHeight="1" x14ac:dyDescent="0.25">
      <c r="A144" s="17" t="s">
        <v>340</v>
      </c>
      <c r="B144" s="179">
        <v>80131502</v>
      </c>
      <c r="C144" s="181" t="s">
        <v>407</v>
      </c>
      <c r="D144" s="20"/>
      <c r="E144" s="200"/>
      <c r="F144" s="200"/>
      <c r="G144" s="201">
        <v>11.5</v>
      </c>
      <c r="H144" s="179" t="s">
        <v>30</v>
      </c>
      <c r="I144" s="181" t="s">
        <v>31</v>
      </c>
      <c r="J144" s="182" t="s">
        <v>383</v>
      </c>
      <c r="K144" s="96" t="s">
        <v>33</v>
      </c>
      <c r="L144" s="26">
        <f t="shared" ref="L144:L185" si="5">+M144+P144+Q144</f>
        <v>93867658</v>
      </c>
      <c r="M144" s="26">
        <f t="shared" si="4"/>
        <v>93867658</v>
      </c>
      <c r="N144" s="26">
        <v>93867658</v>
      </c>
      <c r="O144" s="26">
        <v>0</v>
      </c>
      <c r="P144" s="26"/>
      <c r="Q144" s="26"/>
      <c r="R144" s="29"/>
      <c r="S144" s="29" t="s">
        <v>344</v>
      </c>
      <c r="T144" s="29" t="s">
        <v>156</v>
      </c>
      <c r="U144" s="29" t="s">
        <v>36</v>
      </c>
      <c r="V144" s="29" t="s">
        <v>37</v>
      </c>
      <c r="W144" s="30" t="s">
        <v>157</v>
      </c>
      <c r="X144" s="184" t="s">
        <v>39</v>
      </c>
    </row>
    <row r="145" spans="1:24" ht="57" customHeight="1" x14ac:dyDescent="0.25">
      <c r="A145" s="17" t="s">
        <v>340</v>
      </c>
      <c r="B145" s="179">
        <v>80131502</v>
      </c>
      <c r="C145" s="181" t="s">
        <v>408</v>
      </c>
      <c r="D145" s="20"/>
      <c r="E145" s="200"/>
      <c r="F145" s="200"/>
      <c r="G145" s="201">
        <v>11.5</v>
      </c>
      <c r="H145" s="179" t="s">
        <v>30</v>
      </c>
      <c r="I145" s="181" t="s">
        <v>31</v>
      </c>
      <c r="J145" s="182" t="s">
        <v>383</v>
      </c>
      <c r="K145" s="96" t="s">
        <v>33</v>
      </c>
      <c r="L145" s="26">
        <f t="shared" si="5"/>
        <v>93743005</v>
      </c>
      <c r="M145" s="26">
        <f t="shared" si="4"/>
        <v>93743005</v>
      </c>
      <c r="N145" s="26">
        <v>93743005</v>
      </c>
      <c r="O145" s="26">
        <v>0</v>
      </c>
      <c r="P145" s="26"/>
      <c r="Q145" s="26"/>
      <c r="R145" s="29"/>
      <c r="S145" s="29" t="s">
        <v>344</v>
      </c>
      <c r="T145" s="29" t="s">
        <v>156</v>
      </c>
      <c r="U145" s="29" t="s">
        <v>36</v>
      </c>
      <c r="V145" s="29" t="s">
        <v>37</v>
      </c>
      <c r="W145" s="30" t="s">
        <v>157</v>
      </c>
      <c r="X145" s="184" t="s">
        <v>39</v>
      </c>
    </row>
    <row r="146" spans="1:24" ht="57" customHeight="1" x14ac:dyDescent="0.25">
      <c r="A146" s="17" t="s">
        <v>340</v>
      </c>
      <c r="B146" s="179">
        <v>80131502</v>
      </c>
      <c r="C146" s="181" t="s">
        <v>409</v>
      </c>
      <c r="D146" s="20"/>
      <c r="E146" s="200"/>
      <c r="F146" s="200"/>
      <c r="G146" s="201">
        <v>11.5</v>
      </c>
      <c r="H146" s="179" t="s">
        <v>30</v>
      </c>
      <c r="I146" s="181" t="s">
        <v>31</v>
      </c>
      <c r="J146" s="182" t="s">
        <v>383</v>
      </c>
      <c r="K146" s="96" t="s">
        <v>33</v>
      </c>
      <c r="L146" s="26">
        <f t="shared" si="5"/>
        <v>92200000</v>
      </c>
      <c r="M146" s="26">
        <f t="shared" si="4"/>
        <v>92200000</v>
      </c>
      <c r="N146" s="26">
        <v>92200000</v>
      </c>
      <c r="O146" s="26">
        <v>0</v>
      </c>
      <c r="P146" s="26"/>
      <c r="Q146" s="26"/>
      <c r="R146" s="29"/>
      <c r="S146" s="29" t="s">
        <v>344</v>
      </c>
      <c r="T146" s="29" t="s">
        <v>156</v>
      </c>
      <c r="U146" s="29" t="s">
        <v>36</v>
      </c>
      <c r="V146" s="29" t="s">
        <v>37</v>
      </c>
      <c r="W146" s="30" t="s">
        <v>157</v>
      </c>
      <c r="X146" s="184" t="s">
        <v>39</v>
      </c>
    </row>
    <row r="147" spans="1:24" ht="42.75" customHeight="1" x14ac:dyDescent="0.25">
      <c r="A147" s="17" t="s">
        <v>340</v>
      </c>
      <c r="B147" s="179">
        <v>80131502</v>
      </c>
      <c r="C147" s="181" t="s">
        <v>410</v>
      </c>
      <c r="D147" s="20"/>
      <c r="E147" s="200"/>
      <c r="F147" s="200"/>
      <c r="G147" s="201">
        <v>11.5</v>
      </c>
      <c r="H147" s="179" t="s">
        <v>30</v>
      </c>
      <c r="I147" s="181" t="s">
        <v>31</v>
      </c>
      <c r="J147" s="182" t="s">
        <v>383</v>
      </c>
      <c r="K147" s="96" t="s">
        <v>33</v>
      </c>
      <c r="L147" s="26">
        <f t="shared" si="5"/>
        <v>104719354</v>
      </c>
      <c r="M147" s="26">
        <f t="shared" si="4"/>
        <v>104719354</v>
      </c>
      <c r="N147" s="26">
        <v>104719354</v>
      </c>
      <c r="O147" s="26">
        <v>0</v>
      </c>
      <c r="P147" s="26"/>
      <c r="Q147" s="26"/>
      <c r="R147" s="29"/>
      <c r="S147" s="29" t="s">
        <v>344</v>
      </c>
      <c r="T147" s="29" t="s">
        <v>156</v>
      </c>
      <c r="U147" s="29" t="s">
        <v>36</v>
      </c>
      <c r="V147" s="29" t="s">
        <v>37</v>
      </c>
      <c r="W147" s="30" t="s">
        <v>157</v>
      </c>
      <c r="X147" s="184" t="s">
        <v>39</v>
      </c>
    </row>
    <row r="148" spans="1:24" ht="57" customHeight="1" x14ac:dyDescent="0.25">
      <c r="A148" s="17" t="s">
        <v>340</v>
      </c>
      <c r="B148" s="179">
        <v>80131502</v>
      </c>
      <c r="C148" s="181" t="s">
        <v>411</v>
      </c>
      <c r="D148" s="20"/>
      <c r="E148" s="200"/>
      <c r="F148" s="200"/>
      <c r="G148" s="201">
        <v>11.5</v>
      </c>
      <c r="H148" s="179" t="s">
        <v>30</v>
      </c>
      <c r="I148" s="181" t="s">
        <v>31</v>
      </c>
      <c r="J148" s="182" t="s">
        <v>383</v>
      </c>
      <c r="K148" s="96" t="s">
        <v>33</v>
      </c>
      <c r="L148" s="26">
        <f t="shared" si="5"/>
        <v>219981925</v>
      </c>
      <c r="M148" s="26">
        <f t="shared" si="4"/>
        <v>219981925</v>
      </c>
      <c r="N148" s="26">
        <v>219981925</v>
      </c>
      <c r="O148" s="26"/>
      <c r="P148" s="26"/>
      <c r="Q148" s="26"/>
      <c r="R148" s="29"/>
      <c r="S148" s="29" t="s">
        <v>344</v>
      </c>
      <c r="T148" s="29" t="s">
        <v>156</v>
      </c>
      <c r="U148" s="29" t="s">
        <v>36</v>
      </c>
      <c r="V148" s="29" t="s">
        <v>37</v>
      </c>
      <c r="W148" s="30" t="s">
        <v>157</v>
      </c>
      <c r="X148" s="184" t="s">
        <v>39</v>
      </c>
    </row>
    <row r="149" spans="1:24" ht="57" customHeight="1" x14ac:dyDescent="0.25">
      <c r="A149" s="17" t="s">
        <v>340</v>
      </c>
      <c r="B149" s="179">
        <v>80131502</v>
      </c>
      <c r="C149" s="181" t="s">
        <v>412</v>
      </c>
      <c r="D149" s="20"/>
      <c r="E149" s="200"/>
      <c r="F149" s="200"/>
      <c r="G149" s="201">
        <v>11.5</v>
      </c>
      <c r="H149" s="179" t="s">
        <v>30</v>
      </c>
      <c r="I149" s="181" t="s">
        <v>31</v>
      </c>
      <c r="J149" s="182" t="s">
        <v>383</v>
      </c>
      <c r="K149" s="96" t="s">
        <v>33</v>
      </c>
      <c r="L149" s="26">
        <f t="shared" si="5"/>
        <v>77182130</v>
      </c>
      <c r="M149" s="26">
        <f t="shared" si="4"/>
        <v>77182130</v>
      </c>
      <c r="N149" s="26">
        <v>77182130</v>
      </c>
      <c r="O149" s="26">
        <v>0</v>
      </c>
      <c r="P149" s="26"/>
      <c r="Q149" s="26"/>
      <c r="R149" s="29"/>
      <c r="S149" s="29" t="s">
        <v>344</v>
      </c>
      <c r="T149" s="29" t="s">
        <v>156</v>
      </c>
      <c r="U149" s="29" t="s">
        <v>36</v>
      </c>
      <c r="V149" s="29" t="s">
        <v>37</v>
      </c>
      <c r="W149" s="30" t="s">
        <v>157</v>
      </c>
      <c r="X149" s="184" t="s">
        <v>39</v>
      </c>
    </row>
    <row r="150" spans="1:24" ht="57" customHeight="1" x14ac:dyDescent="0.25">
      <c r="A150" s="17" t="s">
        <v>340</v>
      </c>
      <c r="B150" s="179">
        <v>80131502</v>
      </c>
      <c r="C150" s="181" t="s">
        <v>413</v>
      </c>
      <c r="D150" s="20"/>
      <c r="E150" s="200"/>
      <c r="F150" s="200"/>
      <c r="G150" s="201">
        <v>11.5</v>
      </c>
      <c r="H150" s="179" t="s">
        <v>30</v>
      </c>
      <c r="I150" s="181" t="s">
        <v>31</v>
      </c>
      <c r="J150" s="182" t="s">
        <v>383</v>
      </c>
      <c r="K150" s="96" t="s">
        <v>33</v>
      </c>
      <c r="L150" s="26">
        <f t="shared" si="5"/>
        <v>124382619</v>
      </c>
      <c r="M150" s="26">
        <f t="shared" si="4"/>
        <v>124382619</v>
      </c>
      <c r="N150" s="26">
        <v>124382619</v>
      </c>
      <c r="O150" s="26">
        <v>0</v>
      </c>
      <c r="P150" s="26"/>
      <c r="Q150" s="26"/>
      <c r="R150" s="29"/>
      <c r="S150" s="29" t="s">
        <v>344</v>
      </c>
      <c r="T150" s="29" t="s">
        <v>156</v>
      </c>
      <c r="U150" s="29" t="s">
        <v>36</v>
      </c>
      <c r="V150" s="29" t="s">
        <v>37</v>
      </c>
      <c r="W150" s="30" t="s">
        <v>157</v>
      </c>
      <c r="X150" s="184" t="s">
        <v>39</v>
      </c>
    </row>
    <row r="151" spans="1:24" ht="42.75" customHeight="1" x14ac:dyDescent="0.25">
      <c r="A151" s="17" t="s">
        <v>340</v>
      </c>
      <c r="B151" s="179">
        <v>80131502</v>
      </c>
      <c r="C151" s="181" t="s">
        <v>414</v>
      </c>
      <c r="D151" s="20"/>
      <c r="E151" s="200"/>
      <c r="F151" s="200"/>
      <c r="G151" s="201">
        <v>11.5</v>
      </c>
      <c r="H151" s="179" t="s">
        <v>30</v>
      </c>
      <c r="I151" s="181" t="s">
        <v>31</v>
      </c>
      <c r="J151" s="182" t="s">
        <v>383</v>
      </c>
      <c r="K151" s="96" t="s">
        <v>33</v>
      </c>
      <c r="L151" s="26">
        <f t="shared" si="5"/>
        <v>50387578</v>
      </c>
      <c r="M151" s="26">
        <f t="shared" si="4"/>
        <v>50387578</v>
      </c>
      <c r="N151" s="26">
        <v>50387578</v>
      </c>
      <c r="O151" s="26">
        <v>0</v>
      </c>
      <c r="P151" s="26"/>
      <c r="Q151" s="26"/>
      <c r="R151" s="29"/>
      <c r="S151" s="29" t="s">
        <v>344</v>
      </c>
      <c r="T151" s="29" t="s">
        <v>156</v>
      </c>
      <c r="U151" s="29" t="s">
        <v>36</v>
      </c>
      <c r="V151" s="29" t="s">
        <v>37</v>
      </c>
      <c r="W151" s="30" t="s">
        <v>157</v>
      </c>
      <c r="X151" s="184" t="s">
        <v>39</v>
      </c>
    </row>
    <row r="152" spans="1:24" ht="57" customHeight="1" x14ac:dyDescent="0.25">
      <c r="A152" s="17" t="s">
        <v>340</v>
      </c>
      <c r="B152" s="179">
        <v>80131502</v>
      </c>
      <c r="C152" s="181" t="s">
        <v>415</v>
      </c>
      <c r="D152" s="20"/>
      <c r="E152" s="200"/>
      <c r="F152" s="200"/>
      <c r="G152" s="201">
        <v>11.5</v>
      </c>
      <c r="H152" s="179" t="s">
        <v>30</v>
      </c>
      <c r="I152" s="181" t="s">
        <v>31</v>
      </c>
      <c r="J152" s="182" t="s">
        <v>383</v>
      </c>
      <c r="K152" s="96" t="s">
        <v>33</v>
      </c>
      <c r="L152" s="26">
        <f t="shared" si="5"/>
        <v>116256294</v>
      </c>
      <c r="M152" s="26">
        <f t="shared" si="4"/>
        <v>116256294</v>
      </c>
      <c r="N152" s="26">
        <v>116256294</v>
      </c>
      <c r="O152" s="26">
        <v>0</v>
      </c>
      <c r="P152" s="26"/>
      <c r="Q152" s="26"/>
      <c r="R152" s="29"/>
      <c r="S152" s="29" t="s">
        <v>344</v>
      </c>
      <c r="T152" s="29" t="s">
        <v>156</v>
      </c>
      <c r="U152" s="29" t="s">
        <v>36</v>
      </c>
      <c r="V152" s="29" t="s">
        <v>37</v>
      </c>
      <c r="W152" s="30" t="s">
        <v>157</v>
      </c>
      <c r="X152" s="184" t="s">
        <v>39</v>
      </c>
    </row>
    <row r="153" spans="1:24" ht="57" customHeight="1" x14ac:dyDescent="0.25">
      <c r="A153" s="17" t="s">
        <v>340</v>
      </c>
      <c r="B153" s="179">
        <v>80131502</v>
      </c>
      <c r="C153" s="181" t="s">
        <v>416</v>
      </c>
      <c r="D153" s="20"/>
      <c r="E153" s="200"/>
      <c r="F153" s="200"/>
      <c r="G153" s="201">
        <v>11.5</v>
      </c>
      <c r="H153" s="179" t="s">
        <v>30</v>
      </c>
      <c r="I153" s="181" t="s">
        <v>31</v>
      </c>
      <c r="J153" s="182" t="s">
        <v>383</v>
      </c>
      <c r="K153" s="96" t="s">
        <v>33</v>
      </c>
      <c r="L153" s="26">
        <f t="shared" si="5"/>
        <v>91852706</v>
      </c>
      <c r="M153" s="26">
        <f t="shared" si="4"/>
        <v>91852706</v>
      </c>
      <c r="N153" s="26">
        <v>91852706</v>
      </c>
      <c r="O153" s="26">
        <v>0</v>
      </c>
      <c r="P153" s="26"/>
      <c r="Q153" s="26"/>
      <c r="R153" s="29"/>
      <c r="S153" s="29" t="s">
        <v>344</v>
      </c>
      <c r="T153" s="29" t="s">
        <v>156</v>
      </c>
      <c r="U153" s="29" t="s">
        <v>36</v>
      </c>
      <c r="V153" s="29" t="s">
        <v>37</v>
      </c>
      <c r="W153" s="30" t="s">
        <v>157</v>
      </c>
      <c r="X153" s="184" t="s">
        <v>39</v>
      </c>
    </row>
    <row r="154" spans="1:24" ht="57" customHeight="1" x14ac:dyDescent="0.25">
      <c r="A154" s="17" t="s">
        <v>340</v>
      </c>
      <c r="B154" s="179">
        <v>80131502</v>
      </c>
      <c r="C154" s="181" t="s">
        <v>417</v>
      </c>
      <c r="D154" s="20"/>
      <c r="E154" s="200"/>
      <c r="F154" s="200"/>
      <c r="G154" s="201">
        <v>11.5</v>
      </c>
      <c r="H154" s="179" t="s">
        <v>30</v>
      </c>
      <c r="I154" s="181" t="s">
        <v>31</v>
      </c>
      <c r="J154" s="182" t="s">
        <v>383</v>
      </c>
      <c r="K154" s="96" t="s">
        <v>33</v>
      </c>
      <c r="L154" s="26">
        <f t="shared" si="5"/>
        <v>78324717</v>
      </c>
      <c r="M154" s="26">
        <f t="shared" si="4"/>
        <v>78324717</v>
      </c>
      <c r="N154" s="26">
        <v>78324717</v>
      </c>
      <c r="O154" s="26">
        <v>0</v>
      </c>
      <c r="P154" s="26"/>
      <c r="Q154" s="26"/>
      <c r="R154" s="29"/>
      <c r="S154" s="29" t="s">
        <v>344</v>
      </c>
      <c r="T154" s="29" t="s">
        <v>156</v>
      </c>
      <c r="U154" s="29" t="s">
        <v>36</v>
      </c>
      <c r="V154" s="29" t="s">
        <v>37</v>
      </c>
      <c r="W154" s="30" t="s">
        <v>157</v>
      </c>
      <c r="X154" s="184" t="s">
        <v>39</v>
      </c>
    </row>
    <row r="155" spans="1:24" ht="57" customHeight="1" x14ac:dyDescent="0.25">
      <c r="A155" s="17" t="s">
        <v>340</v>
      </c>
      <c r="B155" s="179">
        <v>80131502</v>
      </c>
      <c r="C155" s="181" t="s">
        <v>418</v>
      </c>
      <c r="D155" s="20"/>
      <c r="E155" s="200"/>
      <c r="F155" s="200"/>
      <c r="G155" s="201">
        <v>11.5</v>
      </c>
      <c r="H155" s="179" t="s">
        <v>30</v>
      </c>
      <c r="I155" s="181" t="s">
        <v>31</v>
      </c>
      <c r="J155" s="182" t="s">
        <v>383</v>
      </c>
      <c r="K155" s="96" t="s">
        <v>33</v>
      </c>
      <c r="L155" s="26">
        <f t="shared" si="5"/>
        <v>133943158</v>
      </c>
      <c r="M155" s="26">
        <f t="shared" si="4"/>
        <v>133943158</v>
      </c>
      <c r="N155" s="26">
        <v>133943158</v>
      </c>
      <c r="O155" s="26">
        <v>0</v>
      </c>
      <c r="P155" s="26"/>
      <c r="Q155" s="26"/>
      <c r="R155" s="29"/>
      <c r="S155" s="29" t="s">
        <v>344</v>
      </c>
      <c r="T155" s="29" t="s">
        <v>156</v>
      </c>
      <c r="U155" s="29" t="s">
        <v>36</v>
      </c>
      <c r="V155" s="29" t="s">
        <v>37</v>
      </c>
      <c r="W155" s="30" t="s">
        <v>157</v>
      </c>
      <c r="X155" s="184" t="s">
        <v>39</v>
      </c>
    </row>
    <row r="156" spans="1:24" ht="57" customHeight="1" x14ac:dyDescent="0.25">
      <c r="A156" s="17" t="s">
        <v>340</v>
      </c>
      <c r="B156" s="179">
        <v>80131502</v>
      </c>
      <c r="C156" s="181" t="s">
        <v>419</v>
      </c>
      <c r="D156" s="20"/>
      <c r="E156" s="200"/>
      <c r="F156" s="200"/>
      <c r="G156" s="201">
        <v>11.5</v>
      </c>
      <c r="H156" s="179" t="s">
        <v>30</v>
      </c>
      <c r="I156" s="181" t="s">
        <v>31</v>
      </c>
      <c r="J156" s="182" t="s">
        <v>383</v>
      </c>
      <c r="K156" s="96" t="s">
        <v>33</v>
      </c>
      <c r="L156" s="26">
        <f t="shared" si="5"/>
        <v>71894817</v>
      </c>
      <c r="M156" s="26">
        <f t="shared" si="4"/>
        <v>71894817</v>
      </c>
      <c r="N156" s="26">
        <v>71894817</v>
      </c>
      <c r="O156" s="26">
        <v>0</v>
      </c>
      <c r="P156" s="26"/>
      <c r="Q156" s="26"/>
      <c r="R156" s="29"/>
      <c r="S156" s="29" t="s">
        <v>344</v>
      </c>
      <c r="T156" s="29" t="s">
        <v>156</v>
      </c>
      <c r="U156" s="29" t="s">
        <v>36</v>
      </c>
      <c r="V156" s="29" t="s">
        <v>37</v>
      </c>
      <c r="W156" s="30" t="s">
        <v>157</v>
      </c>
      <c r="X156" s="184" t="s">
        <v>39</v>
      </c>
    </row>
    <row r="157" spans="1:24" ht="57" customHeight="1" x14ac:dyDescent="0.25">
      <c r="A157" s="17" t="s">
        <v>340</v>
      </c>
      <c r="B157" s="179">
        <v>80131502</v>
      </c>
      <c r="C157" s="181" t="s">
        <v>420</v>
      </c>
      <c r="D157" s="20"/>
      <c r="E157" s="200"/>
      <c r="F157" s="200"/>
      <c r="G157" s="201">
        <v>11.5</v>
      </c>
      <c r="H157" s="179" t="s">
        <v>30</v>
      </c>
      <c r="I157" s="181" t="s">
        <v>31</v>
      </c>
      <c r="J157" s="182" t="s">
        <v>383</v>
      </c>
      <c r="K157" s="96" t="s">
        <v>33</v>
      </c>
      <c r="L157" s="26">
        <f t="shared" si="5"/>
        <v>40343380</v>
      </c>
      <c r="M157" s="26">
        <f t="shared" si="4"/>
        <v>40343380</v>
      </c>
      <c r="N157" s="26">
        <v>40343380</v>
      </c>
      <c r="O157" s="26">
        <v>0</v>
      </c>
      <c r="P157" s="26"/>
      <c r="Q157" s="26"/>
      <c r="R157" s="29"/>
      <c r="S157" s="29" t="s">
        <v>344</v>
      </c>
      <c r="T157" s="29" t="s">
        <v>156</v>
      </c>
      <c r="U157" s="29" t="s">
        <v>36</v>
      </c>
      <c r="V157" s="29" t="s">
        <v>37</v>
      </c>
      <c r="W157" s="30" t="s">
        <v>157</v>
      </c>
      <c r="X157" s="184" t="s">
        <v>39</v>
      </c>
    </row>
    <row r="158" spans="1:24" ht="57" customHeight="1" x14ac:dyDescent="0.25">
      <c r="A158" s="17" t="s">
        <v>340</v>
      </c>
      <c r="B158" s="179">
        <v>80131502</v>
      </c>
      <c r="C158" s="181" t="s">
        <v>421</v>
      </c>
      <c r="D158" s="20"/>
      <c r="E158" s="200"/>
      <c r="F158" s="200"/>
      <c r="G158" s="201">
        <v>11.5</v>
      </c>
      <c r="H158" s="179" t="s">
        <v>30</v>
      </c>
      <c r="I158" s="181" t="s">
        <v>31</v>
      </c>
      <c r="J158" s="182" t="s">
        <v>383</v>
      </c>
      <c r="K158" s="96" t="s">
        <v>33</v>
      </c>
      <c r="L158" s="26">
        <f t="shared" si="5"/>
        <v>61563696</v>
      </c>
      <c r="M158" s="26">
        <f t="shared" si="4"/>
        <v>61563696</v>
      </c>
      <c r="N158" s="26">
        <v>61563696</v>
      </c>
      <c r="O158" s="26">
        <v>0</v>
      </c>
      <c r="P158" s="26"/>
      <c r="Q158" s="26"/>
      <c r="R158" s="29"/>
      <c r="S158" s="29" t="s">
        <v>344</v>
      </c>
      <c r="T158" s="29" t="s">
        <v>156</v>
      </c>
      <c r="U158" s="29" t="s">
        <v>36</v>
      </c>
      <c r="V158" s="29" t="s">
        <v>37</v>
      </c>
      <c r="W158" s="30" t="s">
        <v>157</v>
      </c>
      <c r="X158" s="184" t="s">
        <v>39</v>
      </c>
    </row>
    <row r="159" spans="1:24" ht="42.75" customHeight="1" x14ac:dyDescent="0.25">
      <c r="A159" s="17" t="s">
        <v>340</v>
      </c>
      <c r="B159" s="179">
        <v>80131502</v>
      </c>
      <c r="C159" s="19" t="s">
        <v>422</v>
      </c>
      <c r="D159" s="20">
        <v>44022</v>
      </c>
      <c r="E159" s="200" t="s">
        <v>381</v>
      </c>
      <c r="F159" s="200" t="s">
        <v>381</v>
      </c>
      <c r="G159" s="30">
        <v>15</v>
      </c>
      <c r="H159" s="179" t="s">
        <v>25</v>
      </c>
      <c r="I159" s="181" t="s">
        <v>115</v>
      </c>
      <c r="J159" s="182" t="s">
        <v>383</v>
      </c>
      <c r="K159" s="96" t="s">
        <v>33</v>
      </c>
      <c r="L159" s="26">
        <f t="shared" si="5"/>
        <v>3291602382.0666671</v>
      </c>
      <c r="M159" s="26">
        <f t="shared" si="4"/>
        <v>89565698</v>
      </c>
      <c r="N159" s="26">
        <f>111883560-40000000</f>
        <v>71883560</v>
      </c>
      <c r="O159" s="207">
        <f>24682138-7000000</f>
        <v>17682138</v>
      </c>
      <c r="P159" s="26">
        <f>2585800394+574656290.066667+41580000</f>
        <v>3202036684.0666671</v>
      </c>
      <c r="Q159" s="26"/>
      <c r="R159" s="29"/>
      <c r="S159" s="29" t="s">
        <v>344</v>
      </c>
      <c r="T159" s="29" t="s">
        <v>156</v>
      </c>
      <c r="U159" s="29" t="s">
        <v>36</v>
      </c>
      <c r="V159" s="29" t="s">
        <v>37</v>
      </c>
      <c r="W159" s="30" t="s">
        <v>157</v>
      </c>
      <c r="X159" s="184" t="s">
        <v>39</v>
      </c>
    </row>
    <row r="160" spans="1:24" ht="42.75" customHeight="1" x14ac:dyDescent="0.25">
      <c r="A160" s="56" t="s">
        <v>340</v>
      </c>
      <c r="B160" s="177">
        <v>72102900</v>
      </c>
      <c r="C160" s="208" t="s">
        <v>423</v>
      </c>
      <c r="D160" s="59">
        <v>43896</v>
      </c>
      <c r="E160" s="209" t="s">
        <v>59</v>
      </c>
      <c r="F160" s="209" t="s">
        <v>424</v>
      </c>
      <c r="G160" s="210">
        <v>6</v>
      </c>
      <c r="H160" s="100" t="s">
        <v>30</v>
      </c>
      <c r="I160" s="211" t="s">
        <v>176</v>
      </c>
      <c r="J160" s="211" t="s">
        <v>425</v>
      </c>
      <c r="K160" s="100" t="s">
        <v>426</v>
      </c>
      <c r="L160" s="66">
        <f t="shared" si="5"/>
        <v>87054524</v>
      </c>
      <c r="M160" s="66">
        <f t="shared" si="4"/>
        <v>87054524</v>
      </c>
      <c r="N160" s="144">
        <f>84054524+3000000</f>
        <v>87054524</v>
      </c>
      <c r="O160" s="66">
        <v>0</v>
      </c>
      <c r="P160" s="66"/>
      <c r="Q160" s="66"/>
      <c r="R160" s="60" t="s">
        <v>62</v>
      </c>
      <c r="S160" s="60" t="s">
        <v>344</v>
      </c>
      <c r="T160" s="60" t="s">
        <v>156</v>
      </c>
      <c r="U160" s="60" t="s">
        <v>36</v>
      </c>
      <c r="V160" s="60" t="s">
        <v>37</v>
      </c>
      <c r="W160" s="68" t="s">
        <v>157</v>
      </c>
      <c r="X160" s="212" t="s">
        <v>39</v>
      </c>
    </row>
    <row r="161" spans="1:24" ht="42.75" customHeight="1" x14ac:dyDescent="0.25">
      <c r="A161" s="56" t="s">
        <v>340</v>
      </c>
      <c r="B161" s="177">
        <v>72102900</v>
      </c>
      <c r="C161" s="208" t="s">
        <v>427</v>
      </c>
      <c r="D161" s="59">
        <v>43896</v>
      </c>
      <c r="E161" s="209" t="s">
        <v>59</v>
      </c>
      <c r="F161" s="209" t="s">
        <v>424</v>
      </c>
      <c r="G161" s="210">
        <v>6</v>
      </c>
      <c r="H161" s="213" t="s">
        <v>30</v>
      </c>
      <c r="I161" s="211" t="s">
        <v>176</v>
      </c>
      <c r="J161" s="211" t="s">
        <v>425</v>
      </c>
      <c r="K161" s="214" t="s">
        <v>33</v>
      </c>
      <c r="L161" s="66">
        <f t="shared" si="5"/>
        <v>33000000</v>
      </c>
      <c r="M161" s="66">
        <f t="shared" si="4"/>
        <v>33000000</v>
      </c>
      <c r="N161" s="66"/>
      <c r="O161" s="144">
        <v>33000000</v>
      </c>
      <c r="P161" s="66"/>
      <c r="Q161" s="66"/>
      <c r="R161" s="60" t="s">
        <v>62</v>
      </c>
      <c r="S161" s="60" t="s">
        <v>344</v>
      </c>
      <c r="T161" s="60" t="s">
        <v>156</v>
      </c>
      <c r="U161" s="60" t="s">
        <v>36</v>
      </c>
      <c r="V161" s="60" t="s">
        <v>37</v>
      </c>
      <c r="W161" s="68" t="s">
        <v>157</v>
      </c>
      <c r="X161" s="212" t="s">
        <v>39</v>
      </c>
    </row>
    <row r="162" spans="1:24" ht="57" customHeight="1" x14ac:dyDescent="0.25">
      <c r="A162" s="56" t="s">
        <v>340</v>
      </c>
      <c r="B162" s="177">
        <v>56101700</v>
      </c>
      <c r="C162" s="208" t="s">
        <v>428</v>
      </c>
      <c r="D162" s="59">
        <v>43896</v>
      </c>
      <c r="E162" s="209" t="s">
        <v>59</v>
      </c>
      <c r="F162" s="209" t="s">
        <v>424</v>
      </c>
      <c r="G162" s="210">
        <v>6</v>
      </c>
      <c r="H162" s="213" t="s">
        <v>30</v>
      </c>
      <c r="I162" s="211" t="s">
        <v>180</v>
      </c>
      <c r="J162" s="211" t="s">
        <v>429</v>
      </c>
      <c r="K162" s="100" t="s">
        <v>430</v>
      </c>
      <c r="L162" s="66">
        <f>+M162+P162+Q162</f>
        <v>41297106</v>
      </c>
      <c r="M162" s="66">
        <f t="shared" si="4"/>
        <v>41297106</v>
      </c>
      <c r="N162" s="66">
        <v>41297106</v>
      </c>
      <c r="O162" s="215"/>
      <c r="P162" s="216"/>
      <c r="Q162" s="76"/>
      <c r="R162" s="60" t="s">
        <v>62</v>
      </c>
      <c r="S162" s="60" t="s">
        <v>344</v>
      </c>
      <c r="T162" s="60" t="s">
        <v>156</v>
      </c>
      <c r="U162" s="60" t="s">
        <v>36</v>
      </c>
      <c r="V162" s="60" t="s">
        <v>37</v>
      </c>
      <c r="W162" s="68" t="s">
        <v>157</v>
      </c>
      <c r="X162" s="212" t="s">
        <v>39</v>
      </c>
    </row>
    <row r="163" spans="1:24" ht="42.75" customHeight="1" x14ac:dyDescent="0.25">
      <c r="A163" s="17" t="s">
        <v>340</v>
      </c>
      <c r="B163" s="179">
        <v>72102900</v>
      </c>
      <c r="C163" s="181" t="s">
        <v>431</v>
      </c>
      <c r="D163" s="20">
        <v>43896</v>
      </c>
      <c r="E163" s="217" t="s">
        <v>59</v>
      </c>
      <c r="F163" s="217" t="s">
        <v>424</v>
      </c>
      <c r="G163" s="22">
        <v>6</v>
      </c>
      <c r="H163" s="218" t="s">
        <v>30</v>
      </c>
      <c r="I163" s="182" t="s">
        <v>176</v>
      </c>
      <c r="J163" s="182" t="s">
        <v>432</v>
      </c>
      <c r="K163" s="96" t="s">
        <v>430</v>
      </c>
      <c r="L163" s="26">
        <f t="shared" si="5"/>
        <v>12918065</v>
      </c>
      <c r="M163" s="26">
        <f t="shared" si="4"/>
        <v>12918065</v>
      </c>
      <c r="N163" s="26">
        <v>12918065</v>
      </c>
      <c r="O163" s="159"/>
      <c r="P163" s="26"/>
      <c r="Q163" s="26"/>
      <c r="R163" s="29"/>
      <c r="S163" s="29" t="s">
        <v>344</v>
      </c>
      <c r="T163" s="29" t="s">
        <v>156</v>
      </c>
      <c r="U163" s="29" t="s">
        <v>36</v>
      </c>
      <c r="V163" s="29" t="s">
        <v>37</v>
      </c>
      <c r="W163" s="30" t="s">
        <v>157</v>
      </c>
      <c r="X163" s="184" t="s">
        <v>39</v>
      </c>
    </row>
    <row r="164" spans="1:24" ht="42.75" customHeight="1" x14ac:dyDescent="0.25">
      <c r="A164" s="56" t="s">
        <v>340</v>
      </c>
      <c r="B164" s="219" t="s">
        <v>433</v>
      </c>
      <c r="C164" s="208" t="s">
        <v>434</v>
      </c>
      <c r="D164" s="59">
        <v>43924</v>
      </c>
      <c r="E164" s="77" t="s">
        <v>172</v>
      </c>
      <c r="F164" s="220" t="s">
        <v>146</v>
      </c>
      <c r="G164" s="210">
        <v>2</v>
      </c>
      <c r="H164" s="213" t="s">
        <v>30</v>
      </c>
      <c r="I164" s="211" t="s">
        <v>209</v>
      </c>
      <c r="J164" s="211" t="s">
        <v>435</v>
      </c>
      <c r="K164" s="219" t="s">
        <v>436</v>
      </c>
      <c r="L164" s="66">
        <f t="shared" si="5"/>
        <v>10000000</v>
      </c>
      <c r="M164" s="66">
        <f t="shared" si="4"/>
        <v>10000000</v>
      </c>
      <c r="N164" s="221">
        <v>10000000</v>
      </c>
      <c r="O164" s="66">
        <v>0</v>
      </c>
      <c r="P164" s="66"/>
      <c r="Q164" s="66"/>
      <c r="R164" s="60" t="s">
        <v>62</v>
      </c>
      <c r="S164" s="60" t="s">
        <v>344</v>
      </c>
      <c r="T164" s="60" t="s">
        <v>156</v>
      </c>
      <c r="U164" s="60" t="s">
        <v>36</v>
      </c>
      <c r="V164" s="60" t="s">
        <v>37</v>
      </c>
      <c r="W164" s="68" t="s">
        <v>157</v>
      </c>
      <c r="X164" s="212" t="s">
        <v>39</v>
      </c>
    </row>
    <row r="165" spans="1:24" ht="42.75" customHeight="1" x14ac:dyDescent="0.25">
      <c r="A165" s="56" t="s">
        <v>340</v>
      </c>
      <c r="B165" s="177" t="s">
        <v>437</v>
      </c>
      <c r="C165" s="208" t="s">
        <v>438</v>
      </c>
      <c r="D165" s="59">
        <v>44012</v>
      </c>
      <c r="E165" s="77" t="s">
        <v>172</v>
      </c>
      <c r="F165" s="220" t="s">
        <v>146</v>
      </c>
      <c r="G165" s="210">
        <v>2</v>
      </c>
      <c r="H165" s="213" t="s">
        <v>30</v>
      </c>
      <c r="I165" s="211" t="s">
        <v>209</v>
      </c>
      <c r="J165" s="211" t="s">
        <v>435</v>
      </c>
      <c r="K165" s="100" t="s">
        <v>259</v>
      </c>
      <c r="L165" s="66">
        <f t="shared" si="5"/>
        <v>50000000</v>
      </c>
      <c r="M165" s="66">
        <f t="shared" si="4"/>
        <v>50000000</v>
      </c>
      <c r="N165" s="221">
        <v>50000000</v>
      </c>
      <c r="O165" s="66">
        <v>0</v>
      </c>
      <c r="P165" s="66"/>
      <c r="Q165" s="66"/>
      <c r="R165" s="60" t="s">
        <v>62</v>
      </c>
      <c r="S165" s="60" t="s">
        <v>344</v>
      </c>
      <c r="T165" s="60" t="s">
        <v>156</v>
      </c>
      <c r="U165" s="60" t="s">
        <v>36</v>
      </c>
      <c r="V165" s="60" t="s">
        <v>37</v>
      </c>
      <c r="W165" s="68" t="s">
        <v>157</v>
      </c>
      <c r="X165" s="212" t="s">
        <v>39</v>
      </c>
    </row>
    <row r="166" spans="1:24" ht="57.75" customHeight="1" x14ac:dyDescent="0.25">
      <c r="A166" s="56" t="s">
        <v>340</v>
      </c>
      <c r="B166" s="219" t="s">
        <v>439</v>
      </c>
      <c r="C166" s="208" t="s">
        <v>440</v>
      </c>
      <c r="D166" s="59">
        <v>43896</v>
      </c>
      <c r="E166" s="209" t="s">
        <v>59</v>
      </c>
      <c r="F166" s="209" t="s">
        <v>46</v>
      </c>
      <c r="G166" s="210">
        <v>6</v>
      </c>
      <c r="H166" s="213" t="s">
        <v>30</v>
      </c>
      <c r="I166" s="208" t="s">
        <v>180</v>
      </c>
      <c r="J166" s="211" t="s">
        <v>441</v>
      </c>
      <c r="K166" s="222" t="s">
        <v>33</v>
      </c>
      <c r="L166" s="66">
        <f t="shared" si="5"/>
        <v>112598574</v>
      </c>
      <c r="M166" s="66">
        <f t="shared" si="4"/>
        <v>112598574</v>
      </c>
      <c r="N166" s="221">
        <v>112598574</v>
      </c>
      <c r="O166" s="66">
        <v>0</v>
      </c>
      <c r="P166" s="66"/>
      <c r="Q166" s="66"/>
      <c r="R166" s="60" t="s">
        <v>62</v>
      </c>
      <c r="S166" s="60" t="s">
        <v>344</v>
      </c>
      <c r="T166" s="60" t="s">
        <v>156</v>
      </c>
      <c r="U166" s="60" t="s">
        <v>36</v>
      </c>
      <c r="V166" s="60" t="s">
        <v>37</v>
      </c>
      <c r="W166" s="68" t="s">
        <v>157</v>
      </c>
      <c r="X166" s="212" t="s">
        <v>39</v>
      </c>
    </row>
    <row r="167" spans="1:24" ht="42.75" customHeight="1" x14ac:dyDescent="0.25">
      <c r="A167" s="56" t="s">
        <v>340</v>
      </c>
      <c r="B167" s="177" t="s">
        <v>442</v>
      </c>
      <c r="C167" s="208" t="s">
        <v>443</v>
      </c>
      <c r="D167" s="59">
        <v>43896</v>
      </c>
      <c r="E167" s="209" t="s">
        <v>59</v>
      </c>
      <c r="F167" s="209" t="s">
        <v>46</v>
      </c>
      <c r="G167" s="210">
        <v>7</v>
      </c>
      <c r="H167" s="213" t="s">
        <v>30</v>
      </c>
      <c r="I167" s="211" t="s">
        <v>176</v>
      </c>
      <c r="J167" s="211" t="s">
        <v>444</v>
      </c>
      <c r="K167" s="100" t="s">
        <v>445</v>
      </c>
      <c r="L167" s="66">
        <f t="shared" si="5"/>
        <v>5000000</v>
      </c>
      <c r="M167" s="66">
        <f t="shared" si="4"/>
        <v>5000000</v>
      </c>
      <c r="N167" s="144">
        <f>12700000-7700000</f>
        <v>5000000</v>
      </c>
      <c r="O167" s="66">
        <v>0</v>
      </c>
      <c r="P167" s="66"/>
      <c r="Q167" s="66"/>
      <c r="R167" s="60" t="s">
        <v>62</v>
      </c>
      <c r="S167" s="60" t="s">
        <v>344</v>
      </c>
      <c r="T167" s="60" t="s">
        <v>156</v>
      </c>
      <c r="U167" s="60" t="s">
        <v>36</v>
      </c>
      <c r="V167" s="60" t="s">
        <v>37</v>
      </c>
      <c r="W167" s="68" t="s">
        <v>157</v>
      </c>
      <c r="X167" s="212" t="s">
        <v>39</v>
      </c>
    </row>
    <row r="168" spans="1:24" ht="42.75" customHeight="1" x14ac:dyDescent="0.25">
      <c r="A168" s="56" t="s">
        <v>340</v>
      </c>
      <c r="B168" s="177" t="s">
        <v>446</v>
      </c>
      <c r="C168" s="208" t="s">
        <v>447</v>
      </c>
      <c r="D168" s="59">
        <v>43896</v>
      </c>
      <c r="E168" s="209" t="s">
        <v>59</v>
      </c>
      <c r="F168" s="209" t="s">
        <v>46</v>
      </c>
      <c r="G168" s="210">
        <v>7</v>
      </c>
      <c r="H168" s="213" t="s">
        <v>30</v>
      </c>
      <c r="I168" s="211" t="s">
        <v>176</v>
      </c>
      <c r="J168" s="211" t="s">
        <v>447</v>
      </c>
      <c r="K168" s="100" t="s">
        <v>448</v>
      </c>
      <c r="L168" s="66">
        <f t="shared" si="5"/>
        <v>57000000</v>
      </c>
      <c r="M168" s="66">
        <f t="shared" si="4"/>
        <v>57000000</v>
      </c>
      <c r="N168" s="144">
        <f>7000000+50000000</f>
        <v>57000000</v>
      </c>
      <c r="O168" s="66">
        <v>0</v>
      </c>
      <c r="P168" s="66"/>
      <c r="Q168" s="66"/>
      <c r="R168" s="60" t="s">
        <v>62</v>
      </c>
      <c r="S168" s="60" t="s">
        <v>344</v>
      </c>
      <c r="T168" s="60" t="s">
        <v>156</v>
      </c>
      <c r="U168" s="60" t="s">
        <v>36</v>
      </c>
      <c r="V168" s="60" t="s">
        <v>37</v>
      </c>
      <c r="W168" s="68" t="s">
        <v>157</v>
      </c>
      <c r="X168" s="212" t="s">
        <v>39</v>
      </c>
    </row>
    <row r="169" spans="1:24" ht="42.75" customHeight="1" x14ac:dyDescent="0.25">
      <c r="A169" s="56" t="s">
        <v>340</v>
      </c>
      <c r="B169" s="177" t="s">
        <v>446</v>
      </c>
      <c r="C169" s="208" t="s">
        <v>447</v>
      </c>
      <c r="D169" s="59">
        <v>43896</v>
      </c>
      <c r="E169" s="209" t="s">
        <v>59</v>
      </c>
      <c r="F169" s="209" t="s">
        <v>46</v>
      </c>
      <c r="G169" s="210">
        <v>7</v>
      </c>
      <c r="H169" s="213" t="s">
        <v>30</v>
      </c>
      <c r="I169" s="211" t="s">
        <v>176</v>
      </c>
      <c r="J169" s="211" t="s">
        <v>449</v>
      </c>
      <c r="K169" s="100" t="s">
        <v>33</v>
      </c>
      <c r="L169" s="66">
        <f t="shared" si="5"/>
        <v>143000000</v>
      </c>
      <c r="M169" s="76">
        <f t="shared" si="4"/>
        <v>143000000</v>
      </c>
      <c r="N169" s="223">
        <v>131540968</v>
      </c>
      <c r="O169" s="224">
        <v>11459032</v>
      </c>
      <c r="P169" s="66"/>
      <c r="Q169" s="66"/>
      <c r="R169" s="60" t="s">
        <v>62</v>
      </c>
      <c r="S169" s="60" t="s">
        <v>344</v>
      </c>
      <c r="T169" s="60" t="s">
        <v>156</v>
      </c>
      <c r="U169" s="60" t="s">
        <v>36</v>
      </c>
      <c r="V169" s="60" t="s">
        <v>37</v>
      </c>
      <c r="W169" s="68" t="s">
        <v>157</v>
      </c>
      <c r="X169" s="212" t="s">
        <v>39</v>
      </c>
    </row>
    <row r="170" spans="1:24" ht="42.75" customHeight="1" x14ac:dyDescent="0.25">
      <c r="A170" s="56" t="s">
        <v>340</v>
      </c>
      <c r="B170" s="177">
        <v>84131503</v>
      </c>
      <c r="C170" s="208" t="s">
        <v>450</v>
      </c>
      <c r="D170" s="59">
        <v>43868</v>
      </c>
      <c r="E170" s="60" t="s">
        <v>58</v>
      </c>
      <c r="F170" s="61" t="s">
        <v>59</v>
      </c>
      <c r="G170" s="210">
        <v>1798</v>
      </c>
      <c r="H170" s="225" t="s">
        <v>164</v>
      </c>
      <c r="I170" s="208" t="s">
        <v>71</v>
      </c>
      <c r="J170" s="211" t="s">
        <v>450</v>
      </c>
      <c r="K170" s="100" t="s">
        <v>451</v>
      </c>
      <c r="L170" s="66">
        <f t="shared" si="5"/>
        <v>1102513555</v>
      </c>
      <c r="M170" s="66">
        <f t="shared" si="4"/>
        <v>1102513555</v>
      </c>
      <c r="N170" s="226">
        <f>1255597858-92141008-60943295</f>
        <v>1102513555</v>
      </c>
      <c r="O170" s="66"/>
      <c r="P170" s="66"/>
      <c r="Q170" s="66"/>
      <c r="R170" s="60" t="s">
        <v>62</v>
      </c>
      <c r="S170" s="60" t="s">
        <v>344</v>
      </c>
      <c r="T170" s="60" t="s">
        <v>156</v>
      </c>
      <c r="U170" s="60" t="s">
        <v>36</v>
      </c>
      <c r="V170" s="60" t="s">
        <v>37</v>
      </c>
      <c r="W170" s="68" t="s">
        <v>157</v>
      </c>
      <c r="X170" s="212" t="s">
        <v>39</v>
      </c>
    </row>
    <row r="171" spans="1:24" ht="42.75" customHeight="1" x14ac:dyDescent="0.25">
      <c r="A171" s="56" t="s">
        <v>340</v>
      </c>
      <c r="B171" s="177">
        <v>84131503</v>
      </c>
      <c r="C171" s="208" t="s">
        <v>452</v>
      </c>
      <c r="D171" s="59"/>
      <c r="E171" s="60" t="s">
        <v>59</v>
      </c>
      <c r="F171" s="61" t="s">
        <v>46</v>
      </c>
      <c r="G171" s="210">
        <v>1</v>
      </c>
      <c r="H171" s="225" t="s">
        <v>453</v>
      </c>
      <c r="I171" s="208" t="s">
        <v>159</v>
      </c>
      <c r="J171" s="211" t="s">
        <v>450</v>
      </c>
      <c r="K171" s="100" t="s">
        <v>451</v>
      </c>
      <c r="L171" s="66">
        <f>+M171+P171+Q171</f>
        <v>92141008</v>
      </c>
      <c r="M171" s="66">
        <f>+O171+N171</f>
        <v>92141008</v>
      </c>
      <c r="N171" s="226">
        <f>1255597858-1102513555-60943295</f>
        <v>92141008</v>
      </c>
      <c r="O171" s="66"/>
      <c r="P171" s="66"/>
      <c r="Q171" s="66"/>
      <c r="R171" s="60" t="s">
        <v>62</v>
      </c>
      <c r="S171" s="60" t="s">
        <v>344</v>
      </c>
      <c r="T171" s="60" t="s">
        <v>156</v>
      </c>
      <c r="U171" s="60" t="s">
        <v>36</v>
      </c>
      <c r="V171" s="60" t="s">
        <v>37</v>
      </c>
      <c r="W171" s="68" t="s">
        <v>157</v>
      </c>
      <c r="X171" s="212" t="s">
        <v>39</v>
      </c>
    </row>
    <row r="172" spans="1:24" ht="42.75" customHeight="1" x14ac:dyDescent="0.25">
      <c r="A172" s="56" t="s">
        <v>340</v>
      </c>
      <c r="B172" s="177">
        <v>84131503</v>
      </c>
      <c r="C172" s="208" t="s">
        <v>454</v>
      </c>
      <c r="D172" s="59">
        <v>43868</v>
      </c>
      <c r="E172" s="60" t="s">
        <v>58</v>
      </c>
      <c r="F172" s="61" t="s">
        <v>59</v>
      </c>
      <c r="G172" s="210">
        <v>1799</v>
      </c>
      <c r="H172" s="225" t="s">
        <v>164</v>
      </c>
      <c r="I172" s="208" t="s">
        <v>71</v>
      </c>
      <c r="J172" s="211" t="s">
        <v>450</v>
      </c>
      <c r="K172" s="100" t="s">
        <v>455</v>
      </c>
      <c r="L172" s="66">
        <f>+M172+P172+Q172</f>
        <v>117570352</v>
      </c>
      <c r="M172" s="66">
        <f t="shared" si="4"/>
        <v>117570352</v>
      </c>
      <c r="N172" s="227">
        <f>65592320+36909973</f>
        <v>102502293</v>
      </c>
      <c r="O172" s="66">
        <v>15068059</v>
      </c>
      <c r="P172" s="66"/>
      <c r="Q172" s="66"/>
      <c r="R172" s="60" t="s">
        <v>62</v>
      </c>
      <c r="S172" s="60" t="s">
        <v>344</v>
      </c>
      <c r="T172" s="60" t="s">
        <v>156</v>
      </c>
      <c r="U172" s="60" t="s">
        <v>36</v>
      </c>
      <c r="V172" s="60" t="s">
        <v>37</v>
      </c>
      <c r="W172" s="68" t="s">
        <v>221</v>
      </c>
      <c r="X172" s="212" t="s">
        <v>39</v>
      </c>
    </row>
    <row r="173" spans="1:24" ht="42.75" customHeight="1" x14ac:dyDescent="0.25">
      <c r="A173" s="17" t="s">
        <v>340</v>
      </c>
      <c r="B173" s="179">
        <v>46182200</v>
      </c>
      <c r="C173" s="181" t="s">
        <v>456</v>
      </c>
      <c r="D173" s="20">
        <v>43921</v>
      </c>
      <c r="E173" s="29" t="s">
        <v>59</v>
      </c>
      <c r="F173" s="29" t="s">
        <v>46</v>
      </c>
      <c r="G173" s="22">
        <v>2</v>
      </c>
      <c r="H173" s="218" t="s">
        <v>30</v>
      </c>
      <c r="I173" s="182" t="s">
        <v>31</v>
      </c>
      <c r="J173" s="182" t="s">
        <v>435</v>
      </c>
      <c r="K173" s="96" t="s">
        <v>259</v>
      </c>
      <c r="L173" s="26">
        <f t="shared" si="5"/>
        <v>42050599</v>
      </c>
      <c r="M173" s="26">
        <f t="shared" si="4"/>
        <v>42050599</v>
      </c>
      <c r="N173" s="26">
        <f>34000000+8050599</f>
        <v>42050599</v>
      </c>
      <c r="O173" s="26"/>
      <c r="P173" s="26"/>
      <c r="Q173" s="26"/>
      <c r="R173" s="29"/>
      <c r="S173" s="29" t="s">
        <v>344</v>
      </c>
      <c r="T173" s="29" t="s">
        <v>156</v>
      </c>
      <c r="U173" s="29" t="s">
        <v>36</v>
      </c>
      <c r="V173" s="29" t="s">
        <v>37</v>
      </c>
      <c r="W173" s="30" t="s">
        <v>157</v>
      </c>
      <c r="X173" s="184" t="s">
        <v>39</v>
      </c>
    </row>
    <row r="174" spans="1:24" ht="42.75" customHeight="1" x14ac:dyDescent="0.25">
      <c r="A174" s="17" t="s">
        <v>340</v>
      </c>
      <c r="B174" s="179">
        <v>46191600</v>
      </c>
      <c r="C174" s="181" t="s">
        <v>457</v>
      </c>
      <c r="D174" s="20">
        <v>43921</v>
      </c>
      <c r="E174" s="183" t="s">
        <v>58</v>
      </c>
      <c r="F174" s="183" t="s">
        <v>46</v>
      </c>
      <c r="G174" s="22">
        <v>2</v>
      </c>
      <c r="H174" s="218" t="s">
        <v>30</v>
      </c>
      <c r="I174" s="182" t="s">
        <v>31</v>
      </c>
      <c r="J174" s="182" t="s">
        <v>435</v>
      </c>
      <c r="K174" s="96" t="s">
        <v>259</v>
      </c>
      <c r="L174" s="26">
        <f t="shared" si="5"/>
        <v>36739372</v>
      </c>
      <c r="M174" s="26">
        <f t="shared" si="4"/>
        <v>36739372</v>
      </c>
      <c r="N174" s="228">
        <f>8900000+2209840+23538327</f>
        <v>34648167</v>
      </c>
      <c r="O174" s="26">
        <v>2091205</v>
      </c>
      <c r="P174" s="26"/>
      <c r="Q174" s="26"/>
      <c r="R174" s="29"/>
      <c r="S174" s="29" t="s">
        <v>344</v>
      </c>
      <c r="T174" s="29" t="s">
        <v>156</v>
      </c>
      <c r="U174" s="29" t="s">
        <v>36</v>
      </c>
      <c r="V174" s="29" t="s">
        <v>37</v>
      </c>
      <c r="W174" s="30" t="s">
        <v>157</v>
      </c>
      <c r="X174" s="184" t="s">
        <v>39</v>
      </c>
    </row>
    <row r="175" spans="1:24" ht="42.75" customHeight="1" x14ac:dyDescent="0.25">
      <c r="A175" s="56" t="s">
        <v>340</v>
      </c>
      <c r="B175" s="57">
        <v>42192200</v>
      </c>
      <c r="C175" s="58" t="s">
        <v>458</v>
      </c>
      <c r="D175" s="59">
        <v>43921</v>
      </c>
      <c r="E175" s="74" t="s">
        <v>46</v>
      </c>
      <c r="F175" s="74" t="s">
        <v>29</v>
      </c>
      <c r="G175" s="68">
        <v>2</v>
      </c>
      <c r="H175" s="63" t="s">
        <v>30</v>
      </c>
      <c r="I175" s="58" t="s">
        <v>209</v>
      </c>
      <c r="J175" s="60" t="s">
        <v>435</v>
      </c>
      <c r="K175" s="71" t="s">
        <v>259</v>
      </c>
      <c r="L175" s="66">
        <f t="shared" si="5"/>
        <v>8300000</v>
      </c>
      <c r="M175" s="66">
        <f t="shared" si="4"/>
        <v>8300000</v>
      </c>
      <c r="N175" s="66">
        <v>8300000</v>
      </c>
      <c r="O175" s="66">
        <v>0</v>
      </c>
      <c r="P175" s="66"/>
      <c r="Q175" s="66"/>
      <c r="R175" s="60"/>
      <c r="S175" s="60" t="s">
        <v>344</v>
      </c>
      <c r="T175" s="60" t="s">
        <v>156</v>
      </c>
      <c r="U175" s="60" t="s">
        <v>36</v>
      </c>
      <c r="V175" s="60" t="s">
        <v>37</v>
      </c>
      <c r="W175" s="68" t="s">
        <v>157</v>
      </c>
      <c r="X175" s="102" t="s">
        <v>39</v>
      </c>
    </row>
    <row r="176" spans="1:24" ht="91" customHeight="1" x14ac:dyDescent="0.25">
      <c r="A176" s="56" t="s">
        <v>340</v>
      </c>
      <c r="B176" s="117" t="s">
        <v>459</v>
      </c>
      <c r="C176" s="78" t="s">
        <v>460</v>
      </c>
      <c r="D176" s="229">
        <v>43921</v>
      </c>
      <c r="E176" s="74" t="s">
        <v>59</v>
      </c>
      <c r="F176" s="74" t="s">
        <v>59</v>
      </c>
      <c r="G176" s="210">
        <v>7</v>
      </c>
      <c r="H176" s="63" t="s">
        <v>30</v>
      </c>
      <c r="I176" s="58" t="s">
        <v>176</v>
      </c>
      <c r="J176" s="60" t="s">
        <v>461</v>
      </c>
      <c r="K176" s="71" t="s">
        <v>462</v>
      </c>
      <c r="L176" s="66">
        <f t="shared" si="5"/>
        <v>10500000</v>
      </c>
      <c r="M176" s="66">
        <f t="shared" si="4"/>
        <v>10500000</v>
      </c>
      <c r="N176" s="66">
        <v>10500000</v>
      </c>
      <c r="O176" s="66">
        <v>0</v>
      </c>
      <c r="P176" s="66"/>
      <c r="Q176" s="66"/>
      <c r="R176" s="60"/>
      <c r="S176" s="60" t="s">
        <v>344</v>
      </c>
      <c r="T176" s="60" t="s">
        <v>156</v>
      </c>
      <c r="U176" s="60" t="s">
        <v>36</v>
      </c>
      <c r="V176" s="60" t="s">
        <v>37</v>
      </c>
      <c r="W176" s="68" t="s">
        <v>157</v>
      </c>
      <c r="X176" s="102" t="s">
        <v>39</v>
      </c>
    </row>
    <row r="177" spans="1:24" ht="77" customHeight="1" x14ac:dyDescent="0.25">
      <c r="A177" s="56" t="s">
        <v>340</v>
      </c>
      <c r="B177" s="57">
        <v>30162303</v>
      </c>
      <c r="C177" s="78" t="s">
        <v>463</v>
      </c>
      <c r="D177" s="59">
        <v>43917</v>
      </c>
      <c r="E177" s="74" t="s">
        <v>59</v>
      </c>
      <c r="F177" s="74" t="s">
        <v>46</v>
      </c>
      <c r="G177" s="210">
        <v>2</v>
      </c>
      <c r="H177" s="178" t="s">
        <v>30</v>
      </c>
      <c r="I177" s="58" t="s">
        <v>176</v>
      </c>
      <c r="J177" s="60" t="s">
        <v>464</v>
      </c>
      <c r="K177" s="71" t="s">
        <v>465</v>
      </c>
      <c r="L177" s="66">
        <f t="shared" si="5"/>
        <v>9000000</v>
      </c>
      <c r="M177" s="66">
        <f t="shared" si="4"/>
        <v>9000000</v>
      </c>
      <c r="N177" s="66"/>
      <c r="O177" s="66">
        <v>9000000</v>
      </c>
      <c r="P177" s="66"/>
      <c r="Q177" s="66"/>
      <c r="R177" s="60" t="s">
        <v>62</v>
      </c>
      <c r="S177" s="60" t="s">
        <v>344</v>
      </c>
      <c r="T177" s="60" t="s">
        <v>156</v>
      </c>
      <c r="U177" s="60" t="s">
        <v>36</v>
      </c>
      <c r="V177" s="60" t="s">
        <v>37</v>
      </c>
      <c r="W177" s="68" t="s">
        <v>157</v>
      </c>
      <c r="X177" s="102" t="s">
        <v>39</v>
      </c>
    </row>
    <row r="178" spans="1:24" ht="99.75" customHeight="1" x14ac:dyDescent="0.25">
      <c r="A178" s="33" t="s">
        <v>466</v>
      </c>
      <c r="B178" s="41">
        <v>82101500</v>
      </c>
      <c r="C178" s="35" t="s">
        <v>467</v>
      </c>
      <c r="D178" s="37">
        <v>43868</v>
      </c>
      <c r="E178" s="230" t="s">
        <v>58</v>
      </c>
      <c r="F178" s="230" t="s">
        <v>58</v>
      </c>
      <c r="G178" s="230" t="s">
        <v>468</v>
      </c>
      <c r="H178" s="230" t="s">
        <v>30</v>
      </c>
      <c r="I178" s="35" t="s">
        <v>31</v>
      </c>
      <c r="J178" s="41" t="s">
        <v>469</v>
      </c>
      <c r="K178" s="92" t="s">
        <v>259</v>
      </c>
      <c r="L178" s="43">
        <f t="shared" si="5"/>
        <v>200000000</v>
      </c>
      <c r="M178" s="43">
        <f t="shared" si="4"/>
        <v>200000000</v>
      </c>
      <c r="N178" s="43">
        <f>192050000+7950000</f>
        <v>200000000</v>
      </c>
      <c r="O178" s="43">
        <v>0</v>
      </c>
      <c r="P178" s="43"/>
      <c r="Q178" s="43"/>
      <c r="R178" s="45" t="s">
        <v>89</v>
      </c>
      <c r="S178" s="45" t="s">
        <v>470</v>
      </c>
      <c r="T178" s="45" t="s">
        <v>156</v>
      </c>
      <c r="U178" s="45" t="s">
        <v>36</v>
      </c>
      <c r="V178" s="45" t="s">
        <v>37</v>
      </c>
      <c r="W178" s="46" t="s">
        <v>157</v>
      </c>
      <c r="X178" s="93" t="s">
        <v>39</v>
      </c>
    </row>
    <row r="179" spans="1:24" ht="128.25" customHeight="1" x14ac:dyDescent="0.25">
      <c r="A179" s="56" t="s">
        <v>466</v>
      </c>
      <c r="B179" s="71" t="s">
        <v>471</v>
      </c>
      <c r="C179" s="58" t="s">
        <v>472</v>
      </c>
      <c r="D179" s="59">
        <v>43854</v>
      </c>
      <c r="E179" s="231" t="s">
        <v>58</v>
      </c>
      <c r="F179" s="231" t="s">
        <v>59</v>
      </c>
      <c r="G179" s="231" t="s">
        <v>473</v>
      </c>
      <c r="H179" s="231" t="s">
        <v>30</v>
      </c>
      <c r="I179" s="78" t="s">
        <v>71</v>
      </c>
      <c r="J179" s="71" t="s">
        <v>474</v>
      </c>
      <c r="K179" s="100" t="s">
        <v>33</v>
      </c>
      <c r="L179" s="66">
        <f t="shared" si="5"/>
        <v>2000000000</v>
      </c>
      <c r="M179" s="66">
        <f t="shared" si="4"/>
        <v>2000000000</v>
      </c>
      <c r="N179" s="66">
        <v>2000000000</v>
      </c>
      <c r="O179" s="66">
        <v>0</v>
      </c>
      <c r="P179" s="66"/>
      <c r="Q179" s="66"/>
      <c r="R179" s="60" t="s">
        <v>62</v>
      </c>
      <c r="S179" s="60" t="s">
        <v>470</v>
      </c>
      <c r="T179" s="60" t="s">
        <v>156</v>
      </c>
      <c r="U179" s="60" t="s">
        <v>36</v>
      </c>
      <c r="V179" s="60" t="s">
        <v>37</v>
      </c>
      <c r="W179" s="68" t="s">
        <v>157</v>
      </c>
      <c r="X179" s="102" t="s">
        <v>39</v>
      </c>
    </row>
    <row r="180" spans="1:24" ht="71.25" customHeight="1" x14ac:dyDescent="0.25">
      <c r="A180" s="56" t="s">
        <v>466</v>
      </c>
      <c r="B180" s="71">
        <v>83121700</v>
      </c>
      <c r="C180" s="78" t="s">
        <v>475</v>
      </c>
      <c r="D180" s="59">
        <v>43854</v>
      </c>
      <c r="E180" s="232" t="s">
        <v>59</v>
      </c>
      <c r="F180" s="231" t="s">
        <v>46</v>
      </c>
      <c r="G180" s="231" t="s">
        <v>476</v>
      </c>
      <c r="H180" s="231" t="s">
        <v>30</v>
      </c>
      <c r="I180" s="58" t="s">
        <v>176</v>
      </c>
      <c r="J180" s="71" t="s">
        <v>474</v>
      </c>
      <c r="K180" s="100" t="s">
        <v>33</v>
      </c>
      <c r="L180" s="66">
        <f t="shared" si="5"/>
        <v>86000000</v>
      </c>
      <c r="M180" s="66">
        <f t="shared" si="4"/>
        <v>86000000</v>
      </c>
      <c r="N180" s="66">
        <v>86000000</v>
      </c>
      <c r="O180" s="66">
        <v>0</v>
      </c>
      <c r="P180" s="66"/>
      <c r="Q180" s="66"/>
      <c r="R180" s="60" t="s">
        <v>62</v>
      </c>
      <c r="S180" s="60" t="s">
        <v>470</v>
      </c>
      <c r="T180" s="60" t="s">
        <v>156</v>
      </c>
      <c r="U180" s="60" t="s">
        <v>36</v>
      </c>
      <c r="V180" s="60" t="s">
        <v>37</v>
      </c>
      <c r="W180" s="68" t="s">
        <v>157</v>
      </c>
      <c r="X180" s="102" t="s">
        <v>39</v>
      </c>
    </row>
    <row r="181" spans="1:24" ht="85.5" customHeight="1" x14ac:dyDescent="0.25">
      <c r="A181" s="56" t="s">
        <v>466</v>
      </c>
      <c r="B181" s="71" t="s">
        <v>477</v>
      </c>
      <c r="C181" s="58" t="s">
        <v>131</v>
      </c>
      <c r="D181" s="59">
        <v>43889</v>
      </c>
      <c r="E181" s="60" t="s">
        <v>58</v>
      </c>
      <c r="F181" s="61" t="s">
        <v>46</v>
      </c>
      <c r="G181" s="62">
        <v>8</v>
      </c>
      <c r="H181" s="60" t="s">
        <v>30</v>
      </c>
      <c r="I181" s="58" t="s">
        <v>71</v>
      </c>
      <c r="J181" s="71" t="s">
        <v>478</v>
      </c>
      <c r="K181" s="100" t="s">
        <v>33</v>
      </c>
      <c r="L181" s="66">
        <f t="shared" si="5"/>
        <v>125000000</v>
      </c>
      <c r="M181" s="66">
        <f t="shared" si="4"/>
        <v>125000000</v>
      </c>
      <c r="N181" s="66">
        <v>125000000</v>
      </c>
      <c r="O181" s="66">
        <v>0</v>
      </c>
      <c r="P181" s="66"/>
      <c r="Q181" s="66"/>
      <c r="R181" s="60" t="s">
        <v>62</v>
      </c>
      <c r="S181" s="60" t="s">
        <v>470</v>
      </c>
      <c r="T181" s="60" t="s">
        <v>156</v>
      </c>
      <c r="U181" s="60" t="s">
        <v>36</v>
      </c>
      <c r="V181" s="60" t="s">
        <v>37</v>
      </c>
      <c r="W181" s="68" t="s">
        <v>157</v>
      </c>
      <c r="X181" s="102" t="s">
        <v>39</v>
      </c>
    </row>
    <row r="182" spans="1:24" ht="57" customHeight="1" x14ac:dyDescent="0.25">
      <c r="A182" s="17" t="s">
        <v>479</v>
      </c>
      <c r="B182" s="18">
        <v>82111902</v>
      </c>
      <c r="C182" s="19" t="s">
        <v>480</v>
      </c>
      <c r="D182" s="20">
        <v>44012</v>
      </c>
      <c r="E182" s="21" t="s">
        <v>187</v>
      </c>
      <c r="F182" s="21" t="s">
        <v>241</v>
      </c>
      <c r="G182" s="22">
        <v>1</v>
      </c>
      <c r="H182" s="89" t="s">
        <v>30</v>
      </c>
      <c r="I182" s="19" t="s">
        <v>176</v>
      </c>
      <c r="J182" s="29" t="s">
        <v>481</v>
      </c>
      <c r="K182" s="24" t="s">
        <v>259</v>
      </c>
      <c r="L182" s="26">
        <f t="shared" si="5"/>
        <v>2121800</v>
      </c>
      <c r="M182" s="26">
        <f t="shared" si="4"/>
        <v>2121800</v>
      </c>
      <c r="N182" s="26">
        <v>2121800</v>
      </c>
      <c r="O182" s="26">
        <v>0</v>
      </c>
      <c r="P182" s="26"/>
      <c r="Q182" s="26"/>
      <c r="R182" s="29"/>
      <c r="S182" s="29" t="s">
        <v>482</v>
      </c>
      <c r="T182" s="29" t="s">
        <v>156</v>
      </c>
      <c r="U182" s="29" t="s">
        <v>483</v>
      </c>
      <c r="V182" s="29" t="s">
        <v>37</v>
      </c>
      <c r="W182" s="30" t="s">
        <v>484</v>
      </c>
      <c r="X182" s="84" t="s">
        <v>39</v>
      </c>
    </row>
    <row r="183" spans="1:24" ht="57" customHeight="1" x14ac:dyDescent="0.25">
      <c r="A183" s="56" t="s">
        <v>479</v>
      </c>
      <c r="B183" s="57">
        <v>86101705</v>
      </c>
      <c r="C183" s="58" t="s">
        <v>131</v>
      </c>
      <c r="D183" s="59">
        <v>43889</v>
      </c>
      <c r="E183" s="60" t="s">
        <v>58</v>
      </c>
      <c r="F183" s="61" t="s">
        <v>46</v>
      </c>
      <c r="G183" s="62">
        <v>8</v>
      </c>
      <c r="H183" s="60" t="s">
        <v>30</v>
      </c>
      <c r="I183" s="58" t="s">
        <v>71</v>
      </c>
      <c r="J183" s="60" t="s">
        <v>485</v>
      </c>
      <c r="K183" s="71" t="s">
        <v>33</v>
      </c>
      <c r="L183" s="66">
        <f t="shared" si="5"/>
        <v>65000000</v>
      </c>
      <c r="M183" s="66">
        <f t="shared" si="4"/>
        <v>65000000</v>
      </c>
      <c r="N183" s="66">
        <v>65000000</v>
      </c>
      <c r="O183" s="66">
        <v>0</v>
      </c>
      <c r="P183" s="66"/>
      <c r="Q183" s="66"/>
      <c r="R183" s="60" t="s">
        <v>62</v>
      </c>
      <c r="S183" s="60" t="s">
        <v>482</v>
      </c>
      <c r="T183" s="60" t="s">
        <v>156</v>
      </c>
      <c r="U183" s="60" t="s">
        <v>483</v>
      </c>
      <c r="V183" s="60" t="s">
        <v>37</v>
      </c>
      <c r="W183" s="68" t="s">
        <v>484</v>
      </c>
      <c r="X183" s="102" t="s">
        <v>39</v>
      </c>
    </row>
    <row r="184" spans="1:24" ht="85.5" customHeight="1" x14ac:dyDescent="0.25">
      <c r="A184" s="33" t="s">
        <v>479</v>
      </c>
      <c r="B184" s="34">
        <v>80120000</v>
      </c>
      <c r="C184" s="35" t="s">
        <v>486</v>
      </c>
      <c r="D184" s="123">
        <v>43889</v>
      </c>
      <c r="E184" s="233" t="s">
        <v>58</v>
      </c>
      <c r="F184" s="233" t="s">
        <v>58</v>
      </c>
      <c r="G184" s="39">
        <v>6</v>
      </c>
      <c r="H184" s="40" t="s">
        <v>30</v>
      </c>
      <c r="I184" s="35" t="s">
        <v>31</v>
      </c>
      <c r="J184" s="45" t="s">
        <v>487</v>
      </c>
      <c r="K184" s="41" t="s">
        <v>33</v>
      </c>
      <c r="L184" s="43">
        <f t="shared" si="5"/>
        <v>76365120</v>
      </c>
      <c r="M184" s="43">
        <f t="shared" si="4"/>
        <v>76365120</v>
      </c>
      <c r="N184" s="43">
        <v>76365120</v>
      </c>
      <c r="O184" s="43">
        <v>0</v>
      </c>
      <c r="P184" s="43"/>
      <c r="Q184" s="43"/>
      <c r="R184" s="45" t="s">
        <v>89</v>
      </c>
      <c r="S184" s="45" t="s">
        <v>482</v>
      </c>
      <c r="T184" s="45" t="s">
        <v>156</v>
      </c>
      <c r="U184" s="45" t="s">
        <v>483</v>
      </c>
      <c r="V184" s="45" t="s">
        <v>37</v>
      </c>
      <c r="W184" s="46" t="s">
        <v>484</v>
      </c>
      <c r="X184" s="93" t="s">
        <v>39</v>
      </c>
    </row>
    <row r="185" spans="1:24" ht="42" customHeight="1" x14ac:dyDescent="0.3">
      <c r="A185" s="234" t="s">
        <v>488</v>
      </c>
      <c r="B185" s="235" t="s">
        <v>489</v>
      </c>
      <c r="C185" s="236" t="s">
        <v>131</v>
      </c>
      <c r="D185" s="237">
        <v>43889</v>
      </c>
      <c r="E185" s="238" t="s">
        <v>58</v>
      </c>
      <c r="F185" s="239" t="s">
        <v>46</v>
      </c>
      <c r="G185" s="240">
        <v>8</v>
      </c>
      <c r="H185" s="238" t="s">
        <v>30</v>
      </c>
      <c r="I185" s="236" t="s">
        <v>71</v>
      </c>
      <c r="J185" s="241" t="s">
        <v>490</v>
      </c>
      <c r="K185" s="242" t="s">
        <v>491</v>
      </c>
      <c r="L185" s="243">
        <f t="shared" si="5"/>
        <v>131021150</v>
      </c>
      <c r="M185" s="243">
        <f t="shared" si="4"/>
        <v>131021150</v>
      </c>
      <c r="N185" s="243">
        <f>77976150+53045000</f>
        <v>131021150</v>
      </c>
      <c r="O185" s="243"/>
      <c r="P185" s="243"/>
      <c r="Q185" s="243"/>
      <c r="R185" s="238" t="s">
        <v>62</v>
      </c>
      <c r="S185" s="238" t="s">
        <v>492</v>
      </c>
      <c r="T185" s="238" t="s">
        <v>493</v>
      </c>
      <c r="U185" s="238" t="s">
        <v>494</v>
      </c>
      <c r="V185" s="238" t="s">
        <v>37</v>
      </c>
      <c r="W185" s="244" t="s">
        <v>157</v>
      </c>
      <c r="X185" s="245" t="s">
        <v>39</v>
      </c>
    </row>
    <row r="186" spans="1:24" ht="14" x14ac:dyDescent="0.25">
      <c r="A186" s="246"/>
      <c r="B186" s="247"/>
      <c r="C186" s="248"/>
      <c r="D186" s="249"/>
      <c r="E186" s="250"/>
      <c r="F186" s="250"/>
      <c r="G186" s="251"/>
      <c r="H186" s="252"/>
      <c r="I186" s="248"/>
      <c r="J186" s="253"/>
      <c r="K186" s="254"/>
      <c r="L186" s="255">
        <f>+M186+P186+Q186</f>
        <v>5262916670</v>
      </c>
      <c r="M186" s="256">
        <f>+O186+N186</f>
        <v>27</v>
      </c>
      <c r="N186" s="255">
        <v>27</v>
      </c>
      <c r="O186" s="255"/>
      <c r="P186" s="256">
        <f>5262916643</f>
        <v>5262916643</v>
      </c>
      <c r="Q186" s="255"/>
      <c r="R186" s="253"/>
      <c r="S186" s="253"/>
      <c r="T186" s="253"/>
      <c r="U186" s="253"/>
      <c r="V186" s="253"/>
      <c r="W186" s="257"/>
      <c r="X186" s="258"/>
    </row>
    <row r="187" spans="1:24" x14ac:dyDescent="0.25">
      <c r="A187" s="259"/>
      <c r="B187" s="260"/>
      <c r="C187" s="261"/>
      <c r="D187" s="260"/>
      <c r="E187" s="260"/>
      <c r="F187" s="260"/>
      <c r="G187" s="260"/>
      <c r="H187" s="260"/>
      <c r="I187" s="260"/>
      <c r="J187" s="261"/>
      <c r="K187" s="262">
        <f>SUM(K6:K186)</f>
        <v>0</v>
      </c>
      <c r="L187" s="262"/>
      <c r="M187" s="263">
        <f>SUM(M6:M186)</f>
        <v>140662658044.68976</v>
      </c>
      <c r="N187" s="264">
        <f>SUM(N38:N46)</f>
        <v>1989766473</v>
      </c>
      <c r="O187" s="260">
        <v>3416464649</v>
      </c>
      <c r="P187" s="265">
        <f>O187-N187</f>
        <v>1426698176</v>
      </c>
      <c r="Q187" s="260"/>
      <c r="R187" s="261"/>
      <c r="S187" s="260"/>
      <c r="T187" s="261"/>
      <c r="U187" s="261"/>
      <c r="V187" s="260"/>
      <c r="W187" s="261"/>
      <c r="X187" s="266"/>
    </row>
    <row r="188" spans="1:24" x14ac:dyDescent="0.25">
      <c r="A188" s="259"/>
      <c r="B188" s="260"/>
      <c r="C188" s="261"/>
      <c r="D188" s="260"/>
      <c r="E188" s="260"/>
      <c r="F188" s="260"/>
      <c r="G188" s="260"/>
      <c r="H188" s="260"/>
      <c r="I188" s="260"/>
      <c r="J188" s="261"/>
      <c r="K188" s="262"/>
      <c r="L188" s="262"/>
      <c r="M188" s="261"/>
      <c r="N188" s="261"/>
      <c r="O188" s="260"/>
      <c r="P188" s="260"/>
      <c r="Q188" s="260"/>
      <c r="R188" s="261"/>
      <c r="S188" s="260"/>
      <c r="T188" s="261"/>
      <c r="U188" s="261"/>
      <c r="V188" s="260"/>
      <c r="W188" s="261"/>
      <c r="X188" s="266"/>
    </row>
    <row r="189" spans="1:24" ht="14.5" x14ac:dyDescent="0.25">
      <c r="A189" s="259"/>
      <c r="B189" s="260"/>
      <c r="C189" s="267"/>
      <c r="D189" s="260"/>
      <c r="E189" s="260"/>
      <c r="F189" s="260"/>
      <c r="G189" s="260"/>
      <c r="H189" s="260"/>
      <c r="I189" s="260"/>
      <c r="J189" s="261"/>
      <c r="K189" s="262"/>
      <c r="L189" s="262"/>
      <c r="M189" s="261"/>
      <c r="N189" s="268">
        <v>865194920</v>
      </c>
      <c r="O189" s="269"/>
      <c r="P189" s="260"/>
      <c r="Q189" s="260"/>
      <c r="R189" s="261"/>
      <c r="S189" s="260"/>
      <c r="T189" s="261"/>
      <c r="U189" s="261"/>
      <c r="V189" s="260"/>
      <c r="W189" s="261"/>
      <c r="X189" s="266"/>
    </row>
    <row r="190" spans="1:24" x14ac:dyDescent="0.25">
      <c r="A190" s="259"/>
      <c r="B190" s="260"/>
      <c r="C190" s="261"/>
      <c r="D190" s="260"/>
      <c r="E190" s="260"/>
      <c r="F190" s="260"/>
      <c r="G190" s="260"/>
      <c r="H190" s="260"/>
      <c r="I190" s="260"/>
      <c r="J190" s="261"/>
      <c r="K190" s="262"/>
      <c r="L190" s="262"/>
      <c r="M190" s="261"/>
      <c r="N190" s="270">
        <f>N189-N21</f>
        <v>559119960</v>
      </c>
      <c r="O190" s="260"/>
      <c r="P190" s="260"/>
      <c r="Q190" s="260"/>
      <c r="R190" s="261"/>
      <c r="S190" s="260"/>
      <c r="T190" s="261"/>
      <c r="U190" s="261"/>
      <c r="V190" s="260"/>
      <c r="W190" s="261"/>
      <c r="X190" s="266"/>
    </row>
    <row r="191" spans="1:24" ht="13" x14ac:dyDescent="0.3">
      <c r="A191" s="259"/>
      <c r="B191" s="260"/>
      <c r="C191" s="261"/>
      <c r="D191" s="260"/>
      <c r="E191" s="260"/>
      <c r="F191" s="260"/>
      <c r="G191" s="260"/>
      <c r="H191" s="260"/>
      <c r="I191" s="260"/>
      <c r="J191" s="261"/>
      <c r="K191" s="262"/>
      <c r="L191" s="262"/>
      <c r="M191" s="261"/>
      <c r="N191" s="271"/>
      <c r="O191" s="269"/>
      <c r="P191" s="260"/>
      <c r="Q191" s="260"/>
      <c r="R191" s="261"/>
      <c r="S191" s="260"/>
      <c r="T191" s="261"/>
      <c r="U191" s="261"/>
      <c r="V191" s="260"/>
      <c r="W191" s="261"/>
      <c r="X191" s="266"/>
    </row>
    <row r="192" spans="1:24" x14ac:dyDescent="0.25">
      <c r="A192" s="259"/>
      <c r="B192" s="260"/>
      <c r="C192" s="261"/>
      <c r="D192" s="260"/>
      <c r="E192" s="260"/>
      <c r="F192" s="260"/>
      <c r="G192" s="260"/>
      <c r="H192" s="260"/>
      <c r="I192" s="260"/>
      <c r="J192" s="261"/>
      <c r="K192" s="262"/>
      <c r="L192" s="262"/>
      <c r="M192" s="261"/>
      <c r="N192" s="261"/>
      <c r="O192" s="260"/>
      <c r="P192" s="260"/>
      <c r="Q192" s="260"/>
      <c r="R192" s="261"/>
      <c r="S192" s="260"/>
      <c r="T192" s="261"/>
      <c r="U192" s="261"/>
      <c r="V192" s="260"/>
      <c r="W192" s="261"/>
      <c r="X192" s="266"/>
    </row>
    <row r="193" spans="1:24" x14ac:dyDescent="0.25">
      <c r="A193" s="259"/>
      <c r="B193" s="260"/>
      <c r="C193" s="261"/>
      <c r="D193" s="260"/>
      <c r="E193" s="260"/>
      <c r="F193" s="260"/>
      <c r="G193" s="260"/>
      <c r="H193" s="260"/>
      <c r="I193" s="260"/>
      <c r="J193" s="261"/>
      <c r="K193" s="262"/>
      <c r="L193" s="262"/>
      <c r="M193" s="261"/>
      <c r="N193" s="272"/>
      <c r="O193" s="260"/>
      <c r="P193" s="260"/>
      <c r="Q193" s="260"/>
      <c r="R193" s="261"/>
      <c r="S193" s="260"/>
      <c r="T193" s="261"/>
      <c r="U193" s="261"/>
      <c r="V193" s="260"/>
      <c r="W193" s="261"/>
      <c r="X193" s="266"/>
    </row>
    <row r="194" spans="1:24" x14ac:dyDescent="0.25">
      <c r="A194" s="259"/>
      <c r="B194" s="260"/>
      <c r="C194" s="261"/>
      <c r="D194" s="260"/>
      <c r="E194" s="260"/>
      <c r="F194" s="260"/>
      <c r="G194" s="260"/>
      <c r="H194" s="260"/>
      <c r="I194" s="260"/>
      <c r="J194" s="261"/>
      <c r="K194" s="262"/>
      <c r="L194" s="262"/>
      <c r="M194" s="261"/>
      <c r="N194" s="261"/>
      <c r="O194" s="260"/>
      <c r="P194" s="260"/>
      <c r="Q194" s="260"/>
      <c r="R194" s="261"/>
      <c r="S194" s="260"/>
      <c r="T194" s="261"/>
      <c r="U194" s="261"/>
      <c r="V194" s="260"/>
      <c r="W194" s="261"/>
      <c r="X194" s="266"/>
    </row>
    <row r="195" spans="1:24" x14ac:dyDescent="0.25">
      <c r="A195" s="259"/>
      <c r="B195" s="260"/>
      <c r="C195" s="261"/>
      <c r="D195" s="260"/>
      <c r="E195" s="260"/>
      <c r="F195" s="260"/>
      <c r="G195" s="260"/>
      <c r="H195" s="260"/>
      <c r="I195" s="260"/>
      <c r="J195" s="261"/>
      <c r="K195" s="262"/>
      <c r="L195" s="262"/>
      <c r="M195" s="261"/>
      <c r="N195" s="261"/>
      <c r="O195" s="260"/>
      <c r="P195" s="260"/>
      <c r="Q195" s="260"/>
      <c r="R195" s="261"/>
      <c r="S195" s="260"/>
      <c r="T195" s="261"/>
      <c r="U195" s="261"/>
      <c r="V195" s="260"/>
      <c r="W195" s="261"/>
      <c r="X195" s="266"/>
    </row>
    <row r="196" spans="1:24" x14ac:dyDescent="0.25">
      <c r="A196" s="259"/>
      <c r="B196" s="260"/>
      <c r="C196" s="261"/>
      <c r="D196" s="260"/>
      <c r="E196" s="260"/>
      <c r="F196" s="260"/>
      <c r="G196" s="260"/>
      <c r="H196" s="260"/>
      <c r="I196" s="260"/>
      <c r="J196" s="261"/>
      <c r="K196" s="262"/>
      <c r="L196" s="262"/>
      <c r="M196" s="261"/>
      <c r="N196" s="261"/>
      <c r="O196" s="260"/>
      <c r="P196" s="260"/>
      <c r="Q196" s="260"/>
      <c r="R196" s="261"/>
      <c r="S196" s="260"/>
      <c r="T196" s="261"/>
      <c r="U196" s="261"/>
      <c r="V196" s="260"/>
      <c r="W196" s="261"/>
      <c r="X196" s="266"/>
    </row>
    <row r="197" spans="1:24" x14ac:dyDescent="0.25">
      <c r="A197" s="259"/>
      <c r="B197" s="260"/>
      <c r="C197" s="261"/>
      <c r="D197" s="260"/>
      <c r="E197" s="260"/>
      <c r="F197" s="260"/>
      <c r="G197" s="260"/>
      <c r="H197" s="260"/>
      <c r="I197" s="260"/>
      <c r="J197" s="261"/>
      <c r="K197" s="262"/>
      <c r="L197" s="262"/>
      <c r="M197" s="261"/>
      <c r="N197" s="261"/>
      <c r="O197" s="260"/>
      <c r="P197" s="260"/>
      <c r="Q197" s="260"/>
      <c r="R197" s="261"/>
      <c r="S197" s="260"/>
      <c r="T197" s="261"/>
      <c r="U197" s="261"/>
      <c r="V197" s="260"/>
      <c r="W197" s="261"/>
      <c r="X197" s="266"/>
    </row>
  </sheetData>
  <sheetProtection formatCells="0" formatColumns="0" formatRows="0" insertColumns="0" insertRows="0" insertHyperlinks="0" sort="0" autoFilter="0" pivotTables="0"/>
  <dataValidations count="3">
    <dataValidation type="list" allowBlank="1" showInputMessage="1" showErrorMessage="1" sqref="I115" xr:uid="{24272F64-3763-43FE-B672-F65B6542B603}">
      <formula1>#N/A</formula1>
    </dataValidation>
    <dataValidation type="list" allowBlank="1" showInputMessage="1" showErrorMessage="1" sqref="A115" xr:uid="{4A662C47-9CD4-42AB-A2C5-0F96D20E96F1}">
      <formula1>$D$12:$D$58</formula1>
    </dataValidation>
    <dataValidation allowBlank="1" showInputMessage="1" showErrorMessage="1" prompt="Describa cómo debe quedar la línea del PAA." sqref="B19" xr:uid="{D3A803E7-065E-477B-A80D-F520A58C10AA}"/>
  </dataValidations>
  <hyperlinks>
    <hyperlink ref="X6" r:id="rId1" xr:uid="{11CAD257-C2D1-4D5A-A4EF-271A12FE020D}"/>
    <hyperlink ref="X8:X26" r:id="rId2" display="javiermosquera@reincorporacion.gov.co" xr:uid="{E1631083-6190-42B6-801C-5252FFEBB4D8}"/>
    <hyperlink ref="X17:X26" r:id="rId3" display="javiermosquera@reincorporacion.gov.co" xr:uid="{3C4C9B0A-D843-4465-AD6E-8819B11A6FF1}"/>
    <hyperlink ref="X23" r:id="rId4" xr:uid="{1DB9529B-5C03-45AF-B1A2-6D203E66E2C0}"/>
    <hyperlink ref="X65" r:id="rId5" xr:uid="{1277000A-81E1-45DE-BF86-5227A476FAB4}"/>
    <hyperlink ref="X66" r:id="rId6" xr:uid="{95D73831-138F-407D-ACA8-2D3D1EAA158E}"/>
    <hyperlink ref="X67" r:id="rId7" xr:uid="{BD392AE8-3478-440A-982A-290B65E54FD6}"/>
    <hyperlink ref="X68" r:id="rId8" xr:uid="{ED594218-8A16-4BC0-B5B8-5912F7FEA1E6}"/>
    <hyperlink ref="X69" r:id="rId9" xr:uid="{6F1CD79D-12D3-42E6-8451-D760B7FD8233}"/>
    <hyperlink ref="X70" r:id="rId10" xr:uid="{4B211BB9-B7DE-4095-A999-059490461A28}"/>
    <hyperlink ref="X71" r:id="rId11" xr:uid="{7B29C99C-50A0-4006-925F-D0A1411CE464}"/>
    <hyperlink ref="X72" r:id="rId12" xr:uid="{DB03B004-C9F1-4804-B5F0-34900576F02F}"/>
    <hyperlink ref="X73" r:id="rId13" xr:uid="{5C454B44-B3ED-4D50-9B8A-EF15047FE1A3}"/>
    <hyperlink ref="X74" r:id="rId14" xr:uid="{4C702F6D-37EB-4872-8C91-47666F734843}"/>
    <hyperlink ref="X75" r:id="rId15" xr:uid="{5122E8EC-DC9E-4B90-A0A0-987C1D0D5C6C}"/>
    <hyperlink ref="X77" r:id="rId16" xr:uid="{C349A8BE-8168-4E16-84E9-F3E572B96890}"/>
    <hyperlink ref="X78" r:id="rId17" xr:uid="{C89A42BD-57A3-49B0-8EA5-42EDE52A7367}"/>
    <hyperlink ref="X85" r:id="rId18" xr:uid="{607E0EBA-2A1A-420A-9F69-0B9C48A6F063}"/>
    <hyperlink ref="X86" r:id="rId19" xr:uid="{E2485DF1-89E2-41CE-948B-125720B93A73}"/>
    <hyperlink ref="X87:X90" r:id="rId20" display="javiermosquera@reincorporacion.gov.co" xr:uid="{55B94B76-C57A-4FDE-80FF-5E4B37D09D32}"/>
    <hyperlink ref="X91" r:id="rId21" xr:uid="{F4BFC736-FAA8-4E7A-8136-A9F2B74404DA}"/>
    <hyperlink ref="X92" r:id="rId22" xr:uid="{F10A4F84-DBD3-4A34-9339-B91881F5117B}"/>
    <hyperlink ref="X182" r:id="rId23" xr:uid="{1AE0A5A4-756C-4096-B844-C13690CE7688}"/>
    <hyperlink ref="X183:X184" r:id="rId24" display="javiermosquera@reincorporacion.gov.co" xr:uid="{D3ABED42-3A6A-4FEE-BE1A-9D92537173A3}"/>
    <hyperlink ref="X184" r:id="rId25" xr:uid="{8FD1D286-6032-482B-A038-BB2196472B80}"/>
    <hyperlink ref="X185" r:id="rId26" xr:uid="{CC46C496-2227-495D-BF5D-3E7371C06321}"/>
    <hyperlink ref="X47" r:id="rId27" xr:uid="{B864C6DC-9E1C-4149-BD47-1550E5F56148}"/>
    <hyperlink ref="X45" r:id="rId28" xr:uid="{6ADBA938-F027-4366-99B5-BF2172E7DB72}"/>
    <hyperlink ref="X62" r:id="rId29" xr:uid="{6AC72250-D7A3-4D34-B0F9-8941E6532810}"/>
    <hyperlink ref="X44" r:id="rId30" xr:uid="{4C2FEE64-86BC-4B49-AE16-E4771039831D}"/>
    <hyperlink ref="X43" r:id="rId31" xr:uid="{F7199B60-611B-4F11-BA91-A67805ED4491}"/>
    <hyperlink ref="X46" r:id="rId32" xr:uid="{96AAA011-DD4A-4DCE-9DE8-14E2A48AB3BC}"/>
    <hyperlink ref="X42" r:id="rId33" xr:uid="{0F0B8EC1-3A06-494A-B496-76D0779541D5}"/>
    <hyperlink ref="X41" r:id="rId34" xr:uid="{4AE11916-D85F-4682-BA34-A6A7B380FC07}"/>
    <hyperlink ref="X39" r:id="rId35" xr:uid="{93E13C89-9A45-431D-B192-E68ECD81DD1B}"/>
    <hyperlink ref="X33" r:id="rId36" xr:uid="{97126D67-66DD-4826-ABDF-FE6BCCA6C9D8}"/>
    <hyperlink ref="X7" r:id="rId37" xr:uid="{552C3C4B-6782-45CF-95F5-004D26C7052E}"/>
    <hyperlink ref="X84" r:id="rId38" xr:uid="{1091859B-AB18-462D-90ED-6CDE10829110}"/>
    <hyperlink ref="X82" r:id="rId39" xr:uid="{A5FC63F9-C8A1-4274-A5BA-091E51687D8C}"/>
    <hyperlink ref="X179:X181" r:id="rId40" display="javiermosquera@reincorporacion.gov.co" xr:uid="{9962B74D-A223-42C0-A372-A51912068621}"/>
    <hyperlink ref="X178" r:id="rId41" xr:uid="{19C29811-BAE0-4D0A-A0A3-C60CFF0A6A4B}"/>
    <hyperlink ref="X180" r:id="rId42" xr:uid="{7056FBE0-593E-4967-9548-8B20D6ADD434}"/>
    <hyperlink ref="X101" r:id="rId43" xr:uid="{1D6B5624-6F33-4F07-AC64-6D9579AD69FC}"/>
    <hyperlink ref="X102" r:id="rId44" xr:uid="{8A6E97B5-7F0A-4EFF-B92F-088046CB3556}"/>
    <hyperlink ref="X103" r:id="rId45" xr:uid="{7F36964A-3C78-43B0-978C-DCAF5B143D5A}"/>
    <hyperlink ref="X104" r:id="rId46" xr:uid="{90A733EF-F103-480D-A410-E86D33397652}"/>
    <hyperlink ref="X108:X160" r:id="rId47" display="javiermosquera@reincorporacion.gov.co" xr:uid="{3A3CD82B-C575-485B-947C-F02B222C74B4}"/>
    <hyperlink ref="X27" r:id="rId48" xr:uid="{40334F5F-0DCA-4F4C-9828-5F991D67EE9F}"/>
    <hyperlink ref="X31" r:id="rId49" xr:uid="{6F9937A6-38E0-4760-A75C-1CB3BC235DDE}"/>
    <hyperlink ref="X80" r:id="rId50" xr:uid="{D8FC9F66-B405-400B-9BD4-072C9DCCC321}"/>
    <hyperlink ref="X10" r:id="rId51" xr:uid="{B7A17097-A007-4183-B420-902A50A4DDAC}"/>
    <hyperlink ref="X16" r:id="rId52" xr:uid="{B9D87AA3-26D8-4235-B94D-48D88FC20048}"/>
    <hyperlink ref="X28" r:id="rId53" xr:uid="{672D5715-179E-4AE5-9986-DB2F369A3AAA}"/>
    <hyperlink ref="X32" r:id="rId54" xr:uid="{74FED18C-270F-46EA-A71E-D92C8348D429}"/>
    <hyperlink ref="X34" r:id="rId55" xr:uid="{6B120640-9109-4A38-9325-50553CAB3986}"/>
    <hyperlink ref="X76" r:id="rId56" xr:uid="{E1B8BEEB-FC9C-4BEA-8E93-120C0182450F}"/>
    <hyperlink ref="X93" r:id="rId57" xr:uid="{2607A922-0159-4219-9133-35AA4B9D6E13}"/>
    <hyperlink ref="X105" r:id="rId58" xr:uid="{CF1012F1-27E5-4061-82FF-CBE6A9BF86FE}"/>
    <hyperlink ref="X108:X109" r:id="rId59" display="javiermosquera@reincorporacion.gov.co" xr:uid="{0F045809-0DD6-4907-9911-7B18B1F7AD21}"/>
    <hyperlink ref="X111:X114" r:id="rId60" display="javiermosquera@reincorporacion.gov.co" xr:uid="{2CE97FFF-EC6D-4082-8A0F-2DA8A365DC7C}"/>
    <hyperlink ref="X112" r:id="rId61" xr:uid="{258DF7A7-C3F2-44E3-BA27-3B44713F649F}"/>
    <hyperlink ref="X118:X127" r:id="rId62" display="javiermosquera@reincorporacion.gov.co" xr:uid="{47441C8F-DA4D-4DFF-A4F1-7FB523C533CA}"/>
    <hyperlink ref="X123" r:id="rId63" xr:uid="{BA05DF52-34A9-47F5-A0BF-528C49AE7547}"/>
    <hyperlink ref="X120" r:id="rId64" xr:uid="{A5F641E5-6211-4D3C-A1D1-AA826ABDFAD4}"/>
    <hyperlink ref="X128:X139" r:id="rId65" display="javiermosquera@reincorporacion.gov.co" xr:uid="{DD55710E-5CEB-47FE-9C81-EDD9531AB2E9}"/>
    <hyperlink ref="X140:X149" r:id="rId66" display="javiermosquera@reincorporacion.gov.co" xr:uid="{EE29A681-EDCD-4EF6-865F-C9BE71D4C75D}"/>
    <hyperlink ref="X150:X158" r:id="rId67" display="javiermosquera@reincorporacion.gov.co" xr:uid="{FF2E8D6E-3881-4217-BE05-F5134E9F9EE7}"/>
    <hyperlink ref="X159" r:id="rId68" xr:uid="{7CFD55F0-2A16-4D9C-ABD7-E131870C4244}"/>
    <hyperlink ref="X170" r:id="rId69" xr:uid="{D0A764BA-239F-48FD-8C42-4F58269550A8}"/>
    <hyperlink ref="X166" r:id="rId70" xr:uid="{2BC455C8-8BF2-44BD-BE5A-95235C286683}"/>
    <hyperlink ref="X128" r:id="rId71" xr:uid="{1C315C3F-3222-41BE-8999-90FA51DA7C96}"/>
    <hyperlink ref="X9" r:id="rId72" xr:uid="{FFCDAF3D-90DD-4E6C-A8E3-9B0237A0E8CF}"/>
    <hyperlink ref="X22" r:id="rId73" xr:uid="{71C3B2B9-9806-4D38-B2F3-C994BE713B65}"/>
    <hyperlink ref="X40" r:id="rId74" xr:uid="{4930113B-E65C-415B-9047-69A74F47FF4C}"/>
    <hyperlink ref="X172" r:id="rId75" xr:uid="{2940348A-6D1A-48D1-9223-0862926FC99B}"/>
    <hyperlink ref="X15" r:id="rId76" xr:uid="{70D7037B-1300-4C05-B21E-8D26CECF9088}"/>
    <hyperlink ref="X13" r:id="rId77" xr:uid="{FFB1BCB4-79B9-46B9-987D-83F71A0A275F}"/>
    <hyperlink ref="X89" r:id="rId78" xr:uid="{9EC5684A-635C-4E1C-91FE-173E998C5CF8}"/>
    <hyperlink ref="X108" r:id="rId79" xr:uid="{844EE540-F5F5-426F-B749-B41B7DBCE024}"/>
    <hyperlink ref="X106" r:id="rId80" xr:uid="{A312A323-3311-43ED-9E09-2C1B09504E31}"/>
    <hyperlink ref="X110" r:id="rId81" xr:uid="{EA72AE81-33AD-441E-AB7B-C1701B8D5078}"/>
    <hyperlink ref="X116" r:id="rId82" xr:uid="{E4BF52D3-B3FF-4959-920E-A9A6D0FE36AA}"/>
    <hyperlink ref="X129" r:id="rId83" xr:uid="{E27FD8B4-AF9B-4A90-BF07-E21D5A79A84F}"/>
    <hyperlink ref="X81" r:id="rId84" xr:uid="{D1280090-F98D-49B1-80EA-D5563CC1440D}"/>
    <hyperlink ref="X19" r:id="rId85" xr:uid="{12F54F6F-5474-431A-85F5-6F89C38746A3}"/>
    <hyperlink ref="X171" r:id="rId86" xr:uid="{B2C70A1B-A67F-4F65-851A-554C2DB5A03B}"/>
    <hyperlink ref="X115" r:id="rId87" xr:uid="{5FE20FCB-B3B1-4D26-8022-BC2BFDBAE50E}"/>
  </hyperlinks>
  <pageMargins left="0.70866141732283472" right="0.70866141732283472" top="0.74803149606299213" bottom="0.74803149606299213" header="0.31496062992125984" footer="0.31496062992125984"/>
  <pageSetup scale="39" orientation="landscape" r:id="rId88"/>
  <rowBreaks count="2" manualBreakCount="2">
    <brk id="32" max="51" man="1"/>
    <brk id="65" max="16383" man="1"/>
  </rowBreaks>
  <colBreaks count="2" manualBreakCount="2">
    <brk id="12" max="1048575" man="1"/>
    <brk id="23" max="190" man="1"/>
  </colBreaks>
  <legacyDrawing r:id="rId89"/>
  <tableParts count="1">
    <tablePart r:id="rId90"/>
  </tableParts>
  <extLst>
    <ext xmlns:x14="http://schemas.microsoft.com/office/spreadsheetml/2009/9/main" uri="{CCE6A557-97BC-4b89-ADB6-D9C93CAAB3DF}">
      <x14:dataValidations xmlns:xm="http://schemas.microsoft.com/office/excel/2006/main" count="5">
        <x14:dataValidation type="list" allowBlank="1" showInputMessage="1" showErrorMessage="1" xr:uid="{C9706B4D-0527-4570-A183-5B1460F15D83}">
          <x14:formula1>
            <xm:f>'Z:\CONTRATACION\ARN\2020\PLAN ANUAL DE CONTRATACION\[Plan de Adquisiciones ARN 2020  VER_2.xlsx]Listas'!#REF!</xm:f>
          </x14:formula1>
          <xm:sqref>A176 R176 I176</xm:sqref>
        </x14:dataValidation>
        <x14:dataValidation type="list" allowBlank="1" showInputMessage="1" showErrorMessage="1" xr:uid="{2BC39BDA-80E7-4F12-962C-E81C463C5D3F}">
          <x14:formula1>
            <xm:f>'[Plan de Adquisiciones ARN 2020  VER_4.xlsx]Listas'!#REF!</xm:f>
          </x14:formula1>
          <xm:sqref>A177:A185 A29:A114 A116:A175 A6:A27</xm:sqref>
        </x14:dataValidation>
        <x14:dataValidation type="list" allowBlank="1" showInputMessage="1" showErrorMessage="1" xr:uid="{9D570C7E-05D4-4908-BBD8-DF49BFAB8F74}">
          <x14:formula1>
            <xm:f>'Z:\ARN\2019\PLAN DE ADQUISICIONES\Elaboracion PAA\PAA 2020\Necesidades Areas 2020\[Copia de 1 PAA DPR Actualizado a 03012020.xlsx]Listas'!#REF!</xm:f>
          </x14:formula1>
          <xm:sqref>I22</xm:sqref>
        </x14:dataValidation>
        <x14:dataValidation type="list" allowBlank="1" showInputMessage="1" showErrorMessage="1" xr:uid="{B6BC33D0-B32D-49A1-BDF5-E6C2A5B3E1C7}">
          <x14:formula1>
            <xm:f>'[Plan de Adquisiciones ARN 2020  VER_4.xlsx]Listas'!#REF!</xm:f>
          </x14:formula1>
          <xm:sqref>I177:I185 I23:I114 I116:I175 I6:I21</xm:sqref>
        </x14:dataValidation>
        <x14:dataValidation type="list" allowBlank="1" showInputMessage="1" showErrorMessage="1" xr:uid="{95234A82-5E91-44DB-A0C5-5E4485C25A80}">
          <x14:formula1>
            <xm:f>'[Plan de Adquisiciones ARN 2020  VER_4.xlsx]Listas'!#REF!</xm:f>
          </x14:formula1>
          <xm:sqref>R23:R175 R177:R185 R6:R21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68C02C02296C34F818B4D5F69E57A77" ma:contentTypeVersion="1" ma:contentTypeDescription="Crear nuevo documento." ma:contentTypeScope="" ma:versionID="3322a4c3040c90ef179b0484c3af1466">
  <xsd:schema xmlns:xsd="http://www.w3.org/2001/XMLSchema" xmlns:xs="http://www.w3.org/2001/XMLSchema" xmlns:p="http://schemas.microsoft.com/office/2006/metadata/properties" xmlns:ns2="6e2a57a2-9d48-4009-82e5-3fe89fb6c543" xmlns:ns3="http://schemas.microsoft.com/sharepoint/v4" targetNamespace="http://schemas.microsoft.com/office/2006/metadata/properties" ma:root="true" ma:fieldsID="af283248b4a8ba114fc50414f092eb93" ns2:_="" ns3:_="">
    <xsd:import namespace="6e2a57a2-9d48-4009-82e5-3fe89fb6c54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6e2a57a2-9d48-4009-82e5-3fe89fb6c543">3CFCSSYJ6V66-57-123</_dlc_DocId>
    <_dlc_DocIdUrl xmlns="6e2a57a2-9d48-4009-82e5-3fe89fb6c543">
      <Url>http://www.reincorporacion.gov.co/es/agencia/_layouts/15/DocIdRedir.aspx?ID=3CFCSSYJ6V66-57-123</Url>
      <Description>3CFCSSYJ6V66-57-123</Description>
    </_dlc_DocIdUrl>
  </documentManagement>
</p:properties>
</file>

<file path=customXml/itemProps1.xml><?xml version="1.0" encoding="utf-8"?>
<ds:datastoreItem xmlns:ds="http://schemas.openxmlformats.org/officeDocument/2006/customXml" ds:itemID="{E4EF01A9-BA48-458B-84A8-83596C8CC590}"/>
</file>

<file path=customXml/itemProps2.xml><?xml version="1.0" encoding="utf-8"?>
<ds:datastoreItem xmlns:ds="http://schemas.openxmlformats.org/officeDocument/2006/customXml" ds:itemID="{4142DAB5-5A0F-4E3C-898F-FD274E76B1C5}"/>
</file>

<file path=customXml/itemProps3.xml><?xml version="1.0" encoding="utf-8"?>
<ds:datastoreItem xmlns:ds="http://schemas.openxmlformats.org/officeDocument/2006/customXml" ds:itemID="{3F789586-62C0-45EA-AA95-6C31EFF31437}"/>
</file>

<file path=customXml/itemProps4.xml><?xml version="1.0" encoding="utf-8"?>
<ds:datastoreItem xmlns:ds="http://schemas.openxmlformats.org/officeDocument/2006/customXml" ds:itemID="{1C2B3CDB-68D2-401B-84F6-09272FC27B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2020</vt:lpstr>
      <vt:lpstr>'Adquisiciones 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Segundo Villamil Huertas</dc:creator>
  <cp:lastModifiedBy>Leonardo Segundo Villamil Huertas</cp:lastModifiedBy>
  <dcterms:created xsi:type="dcterms:W3CDTF">2020-04-28T16:29:18Z</dcterms:created>
  <dcterms:modified xsi:type="dcterms:W3CDTF">2020-04-28T18:37:58Z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0x010100768C02C02296C34F818B4D5F69E57A77</vt:lpwstr>
  </property>
  <property fmtid="{D5CDD505-2E9C-101B-9397-08002B2CF9AE}" pid="3" name="_dlc_DocIdItemGuid">
    <vt:lpwstr>e5e84e27-9738-4ec5-a999-a3900d50b2db</vt:lpwstr>
  </property>
</Properties>
</file>